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v112621\Desktop\"/>
    </mc:Choice>
  </mc:AlternateContent>
  <bookViews>
    <workbookView xWindow="0" yWindow="0" windowWidth="18525" windowHeight="6615" firstSheet="5" activeTab="5"/>
  </bookViews>
  <sheets>
    <sheet name="Total (2)" sheetId="19" state="hidden" r:id="rId1"/>
    <sheet name="Total (3)" sheetId="21" state="hidden" r:id="rId2"/>
    <sheet name="Total" sheetId="15" state="hidden" r:id="rId3"/>
    <sheet name="OT (2)" sheetId="20" state="hidden" r:id="rId4"/>
    <sheet name="Total (10 new cars) (2)" sheetId="27" state="hidden" r:id="rId5"/>
    <sheet name="Total (10 new cars) (3)" sheetId="30" r:id="rId6"/>
    <sheet name="Total (10 new cars)" sheetId="26" r:id="rId7"/>
    <sheet name="Total (final, new night)" sheetId="25" state="hidden" r:id="rId8"/>
    <sheet name="Total (final, current night)" sheetId="28" state="hidden" r:id="rId9"/>
    <sheet name="OT" sheetId="6" r:id="rId10"/>
    <sheet name="Lexus" sheetId="1" r:id="rId11"/>
    <sheet name="Camry 2.5G" sheetId="7" r:id="rId12"/>
    <sheet name="Innova " sheetId="22" r:id="rId13"/>
    <sheet name="11 seats (Transit 3 years)" sheetId="18" state="hidden" r:id="rId14"/>
    <sheet name="Xpander" sheetId="10" r:id="rId15"/>
    <sheet name="11 seats (Hiace) (2)" sheetId="29" state="hidden" r:id="rId16"/>
    <sheet name="11 seats (Hiace)" sheetId="17" r:id="rId17"/>
    <sheet name="11 seats (Transit)" sheetId="24" r:id="rId18"/>
    <sheet name="Fortuner" sheetId="8" r:id="rId19"/>
    <sheet name="Fortuner." sheetId="13" state="hidden" r:id="rId20"/>
    <sheet name="Honda CRV" sheetId="14" r:id="rId21"/>
    <sheet name="Camry 2.0G" sheetId="16" r:id="rId22"/>
    <sheet name="11 seats" sheetId="9" state="hidden" r:id="rId23"/>
  </sheets>
  <definedNames>
    <definedName name="_xlnm.Print_Area" localSheetId="16">'11 seats (Hiace)'!$B$1:$X$170</definedName>
    <definedName name="_xlnm.Print_Area" localSheetId="15">'11 seats (Hiace) (2)'!$B$1:$X$170</definedName>
    <definedName name="_xlnm.Print_Area" localSheetId="17">'11 seats (Transit)'!$B$2:$X$172</definedName>
    <definedName name="_xlnm.Print_Area" localSheetId="21">'Camry 2.0G'!$B$2:$W$47</definedName>
    <definedName name="_xlnm.Print_Area" localSheetId="11">'Camry 2.5G'!$B$2:$W$61</definedName>
    <definedName name="_xlnm.Print_Area" localSheetId="18">Fortuner!$B$2:$AG$103</definedName>
    <definedName name="_xlnm.Print_Area" localSheetId="20">'Honda CRV'!$B$2:$Z$32</definedName>
    <definedName name="_xlnm.Print_Area" localSheetId="10">Lexus!$B$2:$K$16</definedName>
    <definedName name="_xlnm.Print_Area" localSheetId="2">Total!$B$131:$K$203</definedName>
    <definedName name="_xlnm.Print_Area" localSheetId="6">'Total (10 new cars)'!$B$133:$K$206</definedName>
    <definedName name="_xlnm.Print_Area" localSheetId="4">'Total (10 new cars) (2)'!$B$133:$K$205</definedName>
    <definedName name="_xlnm.Print_Area" localSheetId="5">'Total (10 new cars) (3)'!$B$133:$K$206</definedName>
    <definedName name="_xlnm.Print_Area" localSheetId="0">'Total (2)'!$C$4:$S$44</definedName>
    <definedName name="_xlnm.Print_Area" localSheetId="1">'Total (3)'!$C$4:$S$46</definedName>
    <definedName name="_xlnm.Print_Area" localSheetId="8">'Total (final, current night)'!$B$133:$K$205</definedName>
    <definedName name="_xlnm.Print_Area" localSheetId="7">'Total (final, new night)'!$B$133:$K$205</definedName>
    <definedName name="_xlnm.Print_Area" localSheetId="14">Xpander!$B$2:$AC$75</definedName>
    <definedName name="_xlnm.Print_Titles" localSheetId="2">Total!$4:$49</definedName>
    <definedName name="_xlnm.Print_Titles" localSheetId="6">'Total (10 new cars)'!$4:$49</definedName>
    <definedName name="_xlnm.Print_Titles" localSheetId="4">'Total (10 new cars) (2)'!$4:$49</definedName>
    <definedName name="_xlnm.Print_Titles" localSheetId="5">'Total (10 new cars) (3)'!$4:$49</definedName>
    <definedName name="_xlnm.Print_Titles" localSheetId="8">'Total (final, current night)'!$4:$49</definedName>
    <definedName name="_xlnm.Print_Titles" localSheetId="7">'Total (final, new night)'!$4:$49</definedName>
  </definedNames>
  <calcPr calcId="162913"/>
</workbook>
</file>

<file path=xl/calcChain.xml><?xml version="1.0" encoding="utf-8"?>
<calcChain xmlns="http://schemas.openxmlformats.org/spreadsheetml/2006/main">
  <c r="Q45" i="17" l="1"/>
  <c r="I239" i="30"/>
  <c r="H239" i="30"/>
  <c r="H242" i="30"/>
  <c r="H243" i="30" s="1"/>
  <c r="H244" i="30" s="1"/>
  <c r="I241" i="30"/>
  <c r="I240" i="30"/>
  <c r="H241" i="30"/>
  <c r="H240" i="30"/>
  <c r="E244" i="30"/>
  <c r="G241" i="30"/>
  <c r="G240" i="30"/>
  <c r="F241" i="30"/>
  <c r="F240" i="30"/>
  <c r="H50" i="30"/>
  <c r="P18" i="1"/>
  <c r="D243" i="30"/>
  <c r="E241" i="30"/>
  <c r="E239" i="30"/>
  <c r="E240" i="30"/>
  <c r="D242" i="30"/>
  <c r="F201" i="30"/>
  <c r="F200" i="30"/>
  <c r="K192" i="30"/>
  <c r="K191" i="30"/>
  <c r="K190" i="30"/>
  <c r="J127" i="30"/>
  <c r="I127" i="30"/>
  <c r="H127" i="30"/>
  <c r="F127" i="30"/>
  <c r="G127" i="30" s="1"/>
  <c r="J126" i="30"/>
  <c r="H126" i="30"/>
  <c r="I126" i="30" s="1"/>
  <c r="F126" i="30"/>
  <c r="G126" i="30" s="1"/>
  <c r="I125" i="30"/>
  <c r="J125" i="30" s="1"/>
  <c r="H125" i="30"/>
  <c r="G125" i="30"/>
  <c r="F125" i="30" s="1"/>
  <c r="G124" i="30"/>
  <c r="G119" i="30"/>
  <c r="I118" i="30"/>
  <c r="H118" i="30" s="1"/>
  <c r="I116" i="30"/>
  <c r="H116" i="30"/>
  <c r="H115" i="30"/>
  <c r="I115" i="30" s="1"/>
  <c r="K114" i="30"/>
  <c r="H114" i="30"/>
  <c r="I114" i="30" s="1"/>
  <c r="H113" i="30"/>
  <c r="I117" i="30" s="1"/>
  <c r="H117" i="30" s="1"/>
  <c r="I112" i="30"/>
  <c r="I124" i="30" s="1"/>
  <c r="J124" i="30" s="1"/>
  <c r="F112" i="30"/>
  <c r="I111" i="30"/>
  <c r="H111" i="30"/>
  <c r="G111" i="30"/>
  <c r="I104" i="30"/>
  <c r="H104" i="30" s="1"/>
  <c r="I102" i="30"/>
  <c r="H102" i="30"/>
  <c r="H101" i="30"/>
  <c r="I101" i="30" s="1"/>
  <c r="I107" i="30" s="1"/>
  <c r="I100" i="30"/>
  <c r="I106" i="30" s="1"/>
  <c r="H100" i="30"/>
  <c r="H99" i="30"/>
  <c r="J98" i="30"/>
  <c r="I98" i="30"/>
  <c r="I108" i="30" s="1"/>
  <c r="F98" i="30"/>
  <c r="I97" i="30"/>
  <c r="H97" i="30" s="1"/>
  <c r="G97" i="30"/>
  <c r="G105" i="30" s="1"/>
  <c r="G92" i="30"/>
  <c r="I89" i="30"/>
  <c r="H89" i="30" s="1"/>
  <c r="I88" i="30"/>
  <c r="H88" i="30"/>
  <c r="I87" i="30"/>
  <c r="H87" i="30"/>
  <c r="I86" i="30"/>
  <c r="H86" i="30"/>
  <c r="I90" i="30" s="1"/>
  <c r="H90" i="30" s="1"/>
  <c r="I85" i="30"/>
  <c r="H85" i="30"/>
  <c r="I84" i="30"/>
  <c r="J84" i="30" s="1"/>
  <c r="G84" i="30"/>
  <c r="F84" i="30"/>
  <c r="I83" i="30"/>
  <c r="H83" i="30" s="1"/>
  <c r="G83" i="30"/>
  <c r="F83" i="30"/>
  <c r="G82" i="30"/>
  <c r="E82" i="30"/>
  <c r="J81" i="30"/>
  <c r="I81" i="30"/>
  <c r="F81" i="30"/>
  <c r="I80" i="30"/>
  <c r="H80" i="30" s="1"/>
  <c r="F80" i="30"/>
  <c r="I79" i="30"/>
  <c r="H79" i="30" s="1"/>
  <c r="F79" i="30"/>
  <c r="J78" i="30"/>
  <c r="I78" i="30"/>
  <c r="H78" i="30" s="1"/>
  <c r="F78" i="30"/>
  <c r="J77" i="30"/>
  <c r="I77" i="30"/>
  <c r="H77" i="30"/>
  <c r="F77" i="30"/>
  <c r="E76" i="30"/>
  <c r="I75" i="30"/>
  <c r="H75" i="30" s="1"/>
  <c r="G75" i="30"/>
  <c r="J75" i="30" s="1"/>
  <c r="F75" i="30"/>
  <c r="I74" i="30"/>
  <c r="H74" i="30"/>
  <c r="G74" i="30"/>
  <c r="I73" i="30"/>
  <c r="I72" i="30"/>
  <c r="H72" i="30" s="1"/>
  <c r="I71" i="30"/>
  <c r="H71" i="30" s="1"/>
  <c r="E70" i="30"/>
  <c r="J69" i="30"/>
  <c r="I69" i="30"/>
  <c r="H69" i="30" s="1"/>
  <c r="J68" i="30"/>
  <c r="I68" i="30"/>
  <c r="H68" i="30" s="1"/>
  <c r="G68" i="30"/>
  <c r="F68" i="30" s="1"/>
  <c r="I67" i="30"/>
  <c r="H67" i="30"/>
  <c r="G67" i="30"/>
  <c r="I66" i="30"/>
  <c r="H66" i="30"/>
  <c r="I65" i="30"/>
  <c r="E64" i="30"/>
  <c r="J63" i="30"/>
  <c r="I63" i="30"/>
  <c r="H63" i="30" s="1"/>
  <c r="P63" i="30" s="1"/>
  <c r="G63" i="30"/>
  <c r="G69" i="30" s="1"/>
  <c r="F69" i="30" s="1"/>
  <c r="F63" i="30"/>
  <c r="O63" i="30" s="1"/>
  <c r="J62" i="30"/>
  <c r="I62" i="30"/>
  <c r="H62" i="30" s="1"/>
  <c r="P62" i="30" s="1"/>
  <c r="G62" i="30"/>
  <c r="F62" i="30"/>
  <c r="O62" i="30" s="1"/>
  <c r="I61" i="30"/>
  <c r="J61" i="30" s="1"/>
  <c r="G61" i="30"/>
  <c r="F61" i="30" s="1"/>
  <c r="P60" i="30"/>
  <c r="I60" i="30"/>
  <c r="H60" i="30"/>
  <c r="G60" i="30"/>
  <c r="I59" i="30"/>
  <c r="I64" i="30" s="1"/>
  <c r="H59" i="30"/>
  <c r="G59" i="30"/>
  <c r="F59" i="30" s="1"/>
  <c r="E58" i="30"/>
  <c r="H57" i="30"/>
  <c r="I57" i="30" s="1"/>
  <c r="I56" i="30"/>
  <c r="I58" i="30" s="1"/>
  <c r="H56" i="30"/>
  <c r="H58" i="30" s="1"/>
  <c r="I55" i="30"/>
  <c r="H55" i="30"/>
  <c r="F55" i="30"/>
  <c r="G55" i="30" s="1"/>
  <c r="E54" i="30"/>
  <c r="I53" i="30"/>
  <c r="D167" i="30" s="1"/>
  <c r="H53" i="30"/>
  <c r="F53" i="30"/>
  <c r="F57" i="30" s="1"/>
  <c r="G57" i="30" s="1"/>
  <c r="J57" i="30" s="1"/>
  <c r="I52" i="30"/>
  <c r="F163" i="30" s="1"/>
  <c r="H52" i="30"/>
  <c r="F52" i="30"/>
  <c r="F56" i="30" s="1"/>
  <c r="G56" i="30" s="1"/>
  <c r="H51" i="30"/>
  <c r="I51" i="30" s="1"/>
  <c r="G51" i="30"/>
  <c r="F51" i="30"/>
  <c r="F54" i="30" s="1"/>
  <c r="I50" i="30"/>
  <c r="G50" i="30"/>
  <c r="F50" i="30"/>
  <c r="S43" i="30"/>
  <c r="N43" i="30"/>
  <c r="G43" i="30"/>
  <c r="E43" i="30"/>
  <c r="S42" i="30"/>
  <c r="R42" i="30"/>
  <c r="Q42" i="30"/>
  <c r="P42" i="30"/>
  <c r="O42" i="30"/>
  <c r="N42" i="30"/>
  <c r="M42" i="30"/>
  <c r="J42" i="30"/>
  <c r="I42" i="30"/>
  <c r="H42" i="30"/>
  <c r="G42" i="30"/>
  <c r="E42" i="30"/>
  <c r="D42" i="30"/>
  <c r="S36" i="30"/>
  <c r="Q36" i="30"/>
  <c r="P36" i="30"/>
  <c r="O36" i="30"/>
  <c r="N36" i="30"/>
  <c r="E36" i="30"/>
  <c r="R35" i="30"/>
  <c r="Q35" i="30"/>
  <c r="P35" i="30"/>
  <c r="O35" i="30"/>
  <c r="N35" i="30"/>
  <c r="M35" i="30"/>
  <c r="J35" i="30"/>
  <c r="I35" i="30"/>
  <c r="H35" i="30"/>
  <c r="G35" i="30"/>
  <c r="E35" i="30"/>
  <c r="D35" i="30"/>
  <c r="P29" i="30"/>
  <c r="S29" i="30" s="1"/>
  <c r="N29" i="30"/>
  <c r="E29" i="30"/>
  <c r="J29" i="30" s="1"/>
  <c r="D29" i="30"/>
  <c r="S28" i="30"/>
  <c r="R28" i="30"/>
  <c r="Q28" i="30"/>
  <c r="P28" i="30"/>
  <c r="O28" i="30"/>
  <c r="N28" i="30"/>
  <c r="M28" i="30"/>
  <c r="J28" i="30"/>
  <c r="I28" i="30"/>
  <c r="H28" i="30"/>
  <c r="G28" i="30"/>
  <c r="E28" i="30"/>
  <c r="D28" i="30"/>
  <c r="Q22" i="30"/>
  <c r="P22" i="30"/>
  <c r="S22" i="30" s="1"/>
  <c r="O22" i="30"/>
  <c r="N22" i="30"/>
  <c r="M22" i="30"/>
  <c r="E22" i="30"/>
  <c r="J22" i="30" s="1"/>
  <c r="D22" i="30"/>
  <c r="R21" i="30"/>
  <c r="Q21" i="30"/>
  <c r="P21" i="30"/>
  <c r="S21" i="30" s="1"/>
  <c r="O21" i="30"/>
  <c r="N21" i="30"/>
  <c r="M21" i="30"/>
  <c r="I21" i="30"/>
  <c r="H21" i="30"/>
  <c r="G21" i="30"/>
  <c r="E21" i="30"/>
  <c r="J21" i="30" s="1"/>
  <c r="D21" i="30"/>
  <c r="S20" i="30"/>
  <c r="S19" i="30"/>
  <c r="S18" i="30"/>
  <c r="Q15" i="30"/>
  <c r="N15" i="30"/>
  <c r="J15" i="30"/>
  <c r="G15" i="30"/>
  <c r="E15" i="30"/>
  <c r="D15" i="30"/>
  <c r="S14" i="30"/>
  <c r="R14" i="30"/>
  <c r="Q14" i="30"/>
  <c r="P14" i="30"/>
  <c r="O14" i="30"/>
  <c r="N14" i="30"/>
  <c r="M14" i="30"/>
  <c r="H14" i="30"/>
  <c r="G14" i="30"/>
  <c r="E14" i="30"/>
  <c r="D14" i="30"/>
  <c r="J14" i="30" s="1"/>
  <c r="J8" i="30"/>
  <c r="E213" i="26"/>
  <c r="H50" i="26"/>
  <c r="I94" i="30" l="1"/>
  <c r="I242" i="30"/>
  <c r="I243" i="30" s="1"/>
  <c r="I244" i="30" s="1"/>
  <c r="E242" i="30"/>
  <c r="E243" i="30" s="1"/>
  <c r="G224" i="30"/>
  <c r="J51" i="30"/>
  <c r="I54" i="30"/>
  <c r="G58" i="30"/>
  <c r="J55" i="30"/>
  <c r="D162" i="30"/>
  <c r="D139" i="30"/>
  <c r="J94" i="30"/>
  <c r="O59" i="30"/>
  <c r="B189" i="30"/>
  <c r="D159" i="30"/>
  <c r="D136" i="30"/>
  <c r="C152" i="30"/>
  <c r="D154" i="30" s="1"/>
  <c r="K136" i="30"/>
  <c r="J50" i="30"/>
  <c r="E225" i="30"/>
  <c r="I14" i="30"/>
  <c r="G66" i="30"/>
  <c r="J60" i="30"/>
  <c r="F60" i="30"/>
  <c r="O60" i="30" s="1"/>
  <c r="G64" i="30"/>
  <c r="G52" i="30"/>
  <c r="G109" i="30"/>
  <c r="H54" i="30"/>
  <c r="I82" i="30"/>
  <c r="G94" i="30"/>
  <c r="G95" i="30"/>
  <c r="G91" i="30"/>
  <c r="G93" i="30"/>
  <c r="I120" i="30"/>
  <c r="G53" i="30"/>
  <c r="F58" i="30"/>
  <c r="H61" i="30"/>
  <c r="P61" i="30" s="1"/>
  <c r="J66" i="30"/>
  <c r="I76" i="30"/>
  <c r="J82" i="30"/>
  <c r="J79" i="30"/>
  <c r="I95" i="30"/>
  <c r="J95" i="30" s="1"/>
  <c r="I91" i="30"/>
  <c r="J91" i="30" s="1"/>
  <c r="H84" i="30"/>
  <c r="I96" i="30"/>
  <c r="I92" i="30"/>
  <c r="I93" i="30"/>
  <c r="G96" i="30"/>
  <c r="J97" i="30"/>
  <c r="I103" i="30"/>
  <c r="H103" i="30" s="1"/>
  <c r="I99" i="30"/>
  <c r="I110" i="30"/>
  <c r="K140" i="30"/>
  <c r="D144" i="30"/>
  <c r="K144" i="30"/>
  <c r="F144" i="30"/>
  <c r="F167" i="30"/>
  <c r="J144" i="30"/>
  <c r="J167" i="30"/>
  <c r="H167" i="30"/>
  <c r="C154" i="30"/>
  <c r="J56" i="30"/>
  <c r="P59" i="30"/>
  <c r="G107" i="30"/>
  <c r="J107" i="30" s="1"/>
  <c r="G108" i="30"/>
  <c r="J108" i="30" s="1"/>
  <c r="I122" i="30"/>
  <c r="J112" i="30"/>
  <c r="I123" i="30"/>
  <c r="I121" i="30"/>
  <c r="J121" i="30" s="1"/>
  <c r="F67" i="30"/>
  <c r="O61" i="30"/>
  <c r="F73" i="30"/>
  <c r="J74" i="30"/>
  <c r="F74" i="30"/>
  <c r="J80" i="30"/>
  <c r="G110" i="30"/>
  <c r="D158" i="30"/>
  <c r="D135" i="30"/>
  <c r="H163" i="30"/>
  <c r="D163" i="30"/>
  <c r="I163" i="30"/>
  <c r="C153" i="30"/>
  <c r="I140" i="30"/>
  <c r="G163" i="30"/>
  <c r="H140" i="30"/>
  <c r="D140" i="30"/>
  <c r="G140" i="30"/>
  <c r="F140" i="30"/>
  <c r="J59" i="30"/>
  <c r="J64" i="30" s="1"/>
  <c r="G65" i="30"/>
  <c r="H65" i="30"/>
  <c r="H70" i="30" s="1"/>
  <c r="I70" i="30"/>
  <c r="G73" i="30"/>
  <c r="J73" i="30" s="1"/>
  <c r="J67" i="30"/>
  <c r="H73" i="30"/>
  <c r="H76" i="30" s="1"/>
  <c r="F82" i="30"/>
  <c r="H81" i="30"/>
  <c r="H82" i="30" s="1"/>
  <c r="A77" i="30"/>
  <c r="J83" i="30"/>
  <c r="F97" i="30"/>
  <c r="G106" i="30"/>
  <c r="J106" i="30" s="1"/>
  <c r="G121" i="30"/>
  <c r="G120" i="30"/>
  <c r="F111" i="30"/>
  <c r="G123" i="30"/>
  <c r="H112" i="30"/>
  <c r="G122" i="30"/>
  <c r="H98" i="30"/>
  <c r="I105" i="30"/>
  <c r="I109" i="30"/>
  <c r="J109" i="30" s="1"/>
  <c r="J111" i="30"/>
  <c r="I113" i="30"/>
  <c r="I119" i="30" s="1"/>
  <c r="K32" i="7"/>
  <c r="J92" i="30" l="1"/>
  <c r="G239" i="30"/>
  <c r="G242" i="30" s="1"/>
  <c r="G243" i="30" s="1"/>
  <c r="G244" i="30" s="1"/>
  <c r="F239" i="30"/>
  <c r="F242" i="30" s="1"/>
  <c r="F243" i="30" s="1"/>
  <c r="F244" i="30" s="1"/>
  <c r="J119" i="30"/>
  <c r="E144" i="30"/>
  <c r="E167" i="30"/>
  <c r="J105" i="30"/>
  <c r="E163" i="30"/>
  <c r="J213" i="30"/>
  <c r="I141" i="30"/>
  <c r="F154" i="30"/>
  <c r="G213" i="30"/>
  <c r="F141" i="30"/>
  <c r="I213" i="30"/>
  <c r="H158" i="30"/>
  <c r="I158" i="30"/>
  <c r="I135" i="30"/>
  <c r="E135" i="30"/>
  <c r="G158" i="30"/>
  <c r="H135" i="30"/>
  <c r="K158" i="30"/>
  <c r="G135" i="30"/>
  <c r="D212" i="30"/>
  <c r="J158" i="30"/>
  <c r="F135" i="30"/>
  <c r="E158" i="30"/>
  <c r="K135" i="30"/>
  <c r="J135" i="30"/>
  <c r="F158" i="30"/>
  <c r="J123" i="30"/>
  <c r="K214" i="30"/>
  <c r="G167" i="30"/>
  <c r="I167" i="30"/>
  <c r="J93" i="30"/>
  <c r="G72" i="30"/>
  <c r="F66" i="30"/>
  <c r="A78" i="30"/>
  <c r="A79" i="30" s="1"/>
  <c r="D148" i="30"/>
  <c r="F191" i="30"/>
  <c r="I136" i="30"/>
  <c r="E136" i="30"/>
  <c r="D137" i="30"/>
  <c r="H136" i="30"/>
  <c r="E212" i="30"/>
  <c r="G136" i="30"/>
  <c r="F136" i="30"/>
  <c r="J136" i="30"/>
  <c r="H162" i="30"/>
  <c r="H164" i="30" s="1"/>
  <c r="K162" i="30"/>
  <c r="K164" i="30" s="1"/>
  <c r="F162" i="30"/>
  <c r="F164" i="30" s="1"/>
  <c r="I139" i="30"/>
  <c r="E139" i="30"/>
  <c r="D213" i="30"/>
  <c r="J162" i="30"/>
  <c r="E162" i="30"/>
  <c r="H139" i="30"/>
  <c r="H141" i="30" s="1"/>
  <c r="I162" i="30"/>
  <c r="I164" i="30" s="1"/>
  <c r="G139" i="30"/>
  <c r="G162" i="30"/>
  <c r="F139" i="30"/>
  <c r="J139" i="30"/>
  <c r="K139" i="30"/>
  <c r="J58" i="30"/>
  <c r="D141" i="30"/>
  <c r="E213" i="30"/>
  <c r="J110" i="30"/>
  <c r="J140" i="30"/>
  <c r="G164" i="30"/>
  <c r="H224" i="30"/>
  <c r="J224" i="30"/>
  <c r="E191" i="30"/>
  <c r="D223" i="30"/>
  <c r="I225" i="30"/>
  <c r="G225" i="30"/>
  <c r="E214" i="30"/>
  <c r="I144" i="30"/>
  <c r="D143" i="30"/>
  <c r="D166" i="30"/>
  <c r="F199" i="30"/>
  <c r="D160" i="30"/>
  <c r="H159" i="30"/>
  <c r="K159" i="30"/>
  <c r="F159" i="30"/>
  <c r="D171" i="30"/>
  <c r="J159" i="30"/>
  <c r="E159" i="30"/>
  <c r="E223" i="30"/>
  <c r="G159" i="30"/>
  <c r="I159" i="30"/>
  <c r="F64" i="30"/>
  <c r="E192" i="30"/>
  <c r="E200" i="30" s="1"/>
  <c r="G200" i="30" s="1"/>
  <c r="D224" i="30"/>
  <c r="I224" i="30"/>
  <c r="F193" i="30"/>
  <c r="B188" i="30"/>
  <c r="J52" i="30"/>
  <c r="J54" i="30" s="1"/>
  <c r="N58" i="30" s="1"/>
  <c r="N59" i="30" s="1"/>
  <c r="J163" i="30"/>
  <c r="J65" i="30"/>
  <c r="J70" i="30" s="1"/>
  <c r="G70" i="30"/>
  <c r="F65" i="30"/>
  <c r="G71" i="30"/>
  <c r="H213" i="30"/>
  <c r="G141" i="30"/>
  <c r="E140" i="30"/>
  <c r="E224" i="30"/>
  <c r="D164" i="30"/>
  <c r="G144" i="30"/>
  <c r="J122" i="30"/>
  <c r="H64" i="30"/>
  <c r="K225" i="30"/>
  <c r="G214" i="30"/>
  <c r="H144" i="30"/>
  <c r="K141" i="30"/>
  <c r="F192" i="30"/>
  <c r="G192" i="30" s="1"/>
  <c r="J96" i="30"/>
  <c r="J120" i="30"/>
  <c r="J53" i="30"/>
  <c r="K148" i="30"/>
  <c r="K137" i="30"/>
  <c r="G54" i="30"/>
  <c r="AH59" i="17"/>
  <c r="F167" i="26"/>
  <c r="I214" i="30" l="1"/>
  <c r="J223" i="30"/>
  <c r="I160" i="30"/>
  <c r="I171" i="30"/>
  <c r="J171" i="30"/>
  <c r="J160" i="30"/>
  <c r="K223" i="30"/>
  <c r="H160" i="30"/>
  <c r="H171" i="30"/>
  <c r="I223" i="30"/>
  <c r="I226" i="30" s="1"/>
  <c r="D226" i="30"/>
  <c r="H212" i="30"/>
  <c r="G148" i="30"/>
  <c r="G137" i="30"/>
  <c r="J225" i="30"/>
  <c r="G170" i="30"/>
  <c r="E199" i="30"/>
  <c r="I148" i="30"/>
  <c r="I137" i="30"/>
  <c r="J212" i="30"/>
  <c r="H225" i="30"/>
  <c r="G168" i="30"/>
  <c r="F147" i="30"/>
  <c r="F70" i="30"/>
  <c r="K224" i="30"/>
  <c r="J164" i="30"/>
  <c r="E226" i="30"/>
  <c r="F171" i="30"/>
  <c r="G223" i="30"/>
  <c r="G226" i="30" s="1"/>
  <c r="F160" i="30"/>
  <c r="G199" i="30"/>
  <c r="F202" i="30"/>
  <c r="K213" i="30"/>
  <c r="J141" i="30"/>
  <c r="K212" i="30"/>
  <c r="K215" i="30" s="1"/>
  <c r="J148" i="30"/>
  <c r="J137" i="30"/>
  <c r="H148" i="30"/>
  <c r="H137" i="30"/>
  <c r="I212" i="30"/>
  <c r="I215" i="30" s="1"/>
  <c r="F194" i="30"/>
  <c r="G191" i="30"/>
  <c r="F72" i="30"/>
  <c r="J72" i="30"/>
  <c r="I147" i="30"/>
  <c r="F214" i="30"/>
  <c r="I166" i="30"/>
  <c r="I168" i="30" s="1"/>
  <c r="E166" i="30"/>
  <c r="E170" i="30" s="1"/>
  <c r="H143" i="30"/>
  <c r="H145" i="30" s="1"/>
  <c r="J166" i="30"/>
  <c r="J168" i="30" s="1"/>
  <c r="I143" i="30"/>
  <c r="I145" i="30" s="1"/>
  <c r="H166" i="30"/>
  <c r="H168" i="30" s="1"/>
  <c r="G143" i="30"/>
  <c r="G166" i="30"/>
  <c r="K143" i="30"/>
  <c r="K145" i="30" s="1"/>
  <c r="F166" i="30"/>
  <c r="F168" i="30" s="1"/>
  <c r="J143" i="30"/>
  <c r="J145" i="30" s="1"/>
  <c r="E143" i="30"/>
  <c r="E147" i="30" s="1"/>
  <c r="K166" i="30"/>
  <c r="K168" i="30" s="1"/>
  <c r="D214" i="30"/>
  <c r="D215" i="30" s="1"/>
  <c r="F143" i="30"/>
  <c r="F145" i="30" s="1"/>
  <c r="E137" i="30"/>
  <c r="F212" i="30"/>
  <c r="F215" i="30" s="1"/>
  <c r="E148" i="30"/>
  <c r="D147" i="30"/>
  <c r="E154" i="30" s="1"/>
  <c r="E155" i="30" s="1"/>
  <c r="G76" i="30"/>
  <c r="J71" i="30"/>
  <c r="J76" i="30" s="1"/>
  <c r="F71" i="30"/>
  <c r="H223" i="30"/>
  <c r="H226" i="30" s="1"/>
  <c r="G160" i="30"/>
  <c r="G171" i="30"/>
  <c r="G172" i="30" s="1"/>
  <c r="J214" i="30"/>
  <c r="E215" i="30"/>
  <c r="F170" i="30"/>
  <c r="G147" i="30"/>
  <c r="F225" i="30"/>
  <c r="E168" i="30"/>
  <c r="E141" i="30"/>
  <c r="F213" i="30"/>
  <c r="H214" i="30"/>
  <c r="G145" i="30"/>
  <c r="F223" i="30"/>
  <c r="E171" i="30"/>
  <c r="E160" i="30"/>
  <c r="K171" i="30"/>
  <c r="K160" i="30"/>
  <c r="E193" i="30"/>
  <c r="E201" i="30" s="1"/>
  <c r="G201" i="30" s="1"/>
  <c r="D225" i="30"/>
  <c r="D168" i="30"/>
  <c r="D145" i="30"/>
  <c r="G212" i="30"/>
  <c r="G215" i="30" s="1"/>
  <c r="F137" i="30"/>
  <c r="F148" i="30"/>
  <c r="F149" i="30" s="1"/>
  <c r="D150" i="30"/>
  <c r="D149" i="30"/>
  <c r="K147" i="30"/>
  <c r="K149" i="30" s="1"/>
  <c r="D170" i="30"/>
  <c r="D172" i="30" s="1"/>
  <c r="H147" i="30"/>
  <c r="F224" i="30"/>
  <c r="E164" i="30"/>
  <c r="I120" i="26"/>
  <c r="D144" i="26"/>
  <c r="T30" i="17"/>
  <c r="D162" i="26"/>
  <c r="D158" i="26"/>
  <c r="K182" i="30" l="1"/>
  <c r="K152" i="30"/>
  <c r="D183" i="30"/>
  <c r="D184" i="30" s="1"/>
  <c r="D186" i="30" s="1"/>
  <c r="D175" i="30"/>
  <c r="D177" i="30" s="1"/>
  <c r="I216" i="30"/>
  <c r="I217" i="30" s="1"/>
  <c r="I219" i="30"/>
  <c r="F172" i="30"/>
  <c r="K226" i="30"/>
  <c r="F219" i="30"/>
  <c r="F216" i="30"/>
  <c r="F217" i="30" s="1"/>
  <c r="E230" i="30"/>
  <c r="E227" i="30"/>
  <c r="E228" i="30" s="1"/>
  <c r="I230" i="30"/>
  <c r="I227" i="30"/>
  <c r="I228" i="30" s="1"/>
  <c r="J226" i="30"/>
  <c r="I170" i="30"/>
  <c r="D182" i="30"/>
  <c r="D152" i="30"/>
  <c r="G216" i="30"/>
  <c r="G217" i="30" s="1"/>
  <c r="G219" i="30"/>
  <c r="E172" i="30"/>
  <c r="H170" i="30"/>
  <c r="H227" i="30"/>
  <c r="H228" i="30" s="1"/>
  <c r="H230" i="30"/>
  <c r="E145" i="30"/>
  <c r="J170" i="30"/>
  <c r="J172" i="30" s="1"/>
  <c r="H149" i="30"/>
  <c r="G193" i="30"/>
  <c r="E202" i="30"/>
  <c r="G149" i="30"/>
  <c r="H172" i="30"/>
  <c r="F152" i="30"/>
  <c r="F182" i="30"/>
  <c r="G183" i="30"/>
  <c r="G175" i="30"/>
  <c r="E149" i="30"/>
  <c r="J149" i="30"/>
  <c r="G202" i="30"/>
  <c r="G203" i="30" s="1"/>
  <c r="E219" i="30"/>
  <c r="E216" i="30"/>
  <c r="E217" i="30" s="1"/>
  <c r="K170" i="30"/>
  <c r="K172" i="30" s="1"/>
  <c r="K219" i="30"/>
  <c r="K216" i="30"/>
  <c r="K217" i="30" s="1"/>
  <c r="I149" i="30"/>
  <c r="F226" i="30"/>
  <c r="F76" i="30"/>
  <c r="J147" i="30"/>
  <c r="G227" i="30"/>
  <c r="G228" i="30" s="1"/>
  <c r="G230" i="30"/>
  <c r="J215" i="30"/>
  <c r="E194" i="30"/>
  <c r="G194" i="30" s="1"/>
  <c r="G195" i="30" s="1"/>
  <c r="H215" i="30"/>
  <c r="I172" i="30"/>
  <c r="A79" i="26"/>
  <c r="A78" i="26"/>
  <c r="A77" i="26"/>
  <c r="J77" i="26"/>
  <c r="AH63" i="17"/>
  <c r="J175" i="30" l="1"/>
  <c r="J183" i="30"/>
  <c r="K175" i="30"/>
  <c r="K183" i="30"/>
  <c r="K184" i="30" s="1"/>
  <c r="I183" i="30"/>
  <c r="I175" i="30"/>
  <c r="G206" i="30"/>
  <c r="H183" i="30"/>
  <c r="H184" i="30" s="1"/>
  <c r="H175" i="30"/>
  <c r="I152" i="30"/>
  <c r="I182" i="30"/>
  <c r="E182" i="30"/>
  <c r="E152" i="30"/>
  <c r="E175" i="30"/>
  <c r="E183" i="30"/>
  <c r="G184" i="30"/>
  <c r="H182" i="30"/>
  <c r="H152" i="30"/>
  <c r="J230" i="30"/>
  <c r="J227" i="30"/>
  <c r="J228" i="30" s="1"/>
  <c r="F175" i="30"/>
  <c r="F177" i="30" s="1"/>
  <c r="F183" i="30"/>
  <c r="F184" i="30" s="1"/>
  <c r="H216" i="30"/>
  <c r="H217" i="30" s="1"/>
  <c r="H219" i="30"/>
  <c r="F230" i="30"/>
  <c r="F227" i="30"/>
  <c r="F228" i="30" s="1"/>
  <c r="J152" i="30"/>
  <c r="J182" i="30"/>
  <c r="G152" i="30"/>
  <c r="G182" i="30"/>
  <c r="J219" i="30"/>
  <c r="J216" i="30"/>
  <c r="J217" i="30" s="1"/>
  <c r="K227" i="30"/>
  <c r="K228" i="30" s="1"/>
  <c r="K230" i="30"/>
  <c r="B188" i="26"/>
  <c r="E184" i="30" l="1"/>
  <c r="J184" i="30"/>
  <c r="I184" i="30"/>
  <c r="R76" i="17"/>
  <c r="D244" i="26"/>
  <c r="C244" i="26"/>
  <c r="AF67" i="17"/>
  <c r="E244" i="26" l="1"/>
  <c r="E249" i="26" s="1"/>
  <c r="W111" i="24" l="1"/>
  <c r="K111" i="24" l="1"/>
  <c r="K192" i="26" l="1"/>
  <c r="K191" i="26"/>
  <c r="K190" i="26"/>
  <c r="I68" i="26" l="1"/>
  <c r="I66" i="26"/>
  <c r="I65" i="26"/>
  <c r="C154" i="26"/>
  <c r="O92" i="17"/>
  <c r="Z31" i="14"/>
  <c r="N63" i="8"/>
  <c r="Z32" i="10"/>
  <c r="K32" i="10"/>
  <c r="AC60" i="10"/>
  <c r="N60" i="10"/>
  <c r="H101" i="22"/>
  <c r="W100" i="9"/>
  <c r="T100" i="9"/>
  <c r="W99" i="9"/>
  <c r="T99" i="9"/>
  <c r="Q99" i="9"/>
  <c r="K99" i="9"/>
  <c r="H99" i="9"/>
  <c r="E99" i="9"/>
  <c r="W98" i="9"/>
  <c r="T98" i="9"/>
  <c r="Q98" i="9"/>
  <c r="K98" i="9"/>
  <c r="H98" i="9"/>
  <c r="E98" i="9"/>
  <c r="W97" i="9"/>
  <c r="T97" i="9"/>
  <c r="Q97" i="9"/>
  <c r="K97" i="9"/>
  <c r="H97" i="9"/>
  <c r="E97" i="9"/>
  <c r="W96" i="9"/>
  <c r="T96" i="9"/>
  <c r="Q96" i="9"/>
  <c r="K96" i="9"/>
  <c r="H96" i="9"/>
  <c r="E96" i="9"/>
  <c r="W95" i="9"/>
  <c r="T95" i="9"/>
  <c r="Q95" i="9"/>
  <c r="K95" i="9"/>
  <c r="H95" i="9"/>
  <c r="E95" i="9"/>
  <c r="W94" i="9"/>
  <c r="T94" i="9"/>
  <c r="Q94" i="9"/>
  <c r="K94" i="9"/>
  <c r="H94" i="9"/>
  <c r="E94" i="9"/>
  <c r="W93" i="9"/>
  <c r="T93" i="9"/>
  <c r="Q93" i="9"/>
  <c r="K93" i="9"/>
  <c r="H93" i="9"/>
  <c r="E93" i="9"/>
  <c r="W92" i="9"/>
  <c r="T92" i="9"/>
  <c r="Q92" i="9"/>
  <c r="K92" i="9"/>
  <c r="H92" i="9"/>
  <c r="H100" i="9" s="1"/>
  <c r="E92" i="9"/>
  <c r="E100" i="9" s="1"/>
  <c r="K101" i="9" s="1"/>
  <c r="W91" i="9"/>
  <c r="T91" i="9"/>
  <c r="Q91" i="9"/>
  <c r="Q100" i="9" s="1"/>
  <c r="K91" i="9"/>
  <c r="K100" i="9" s="1"/>
  <c r="H91" i="9"/>
  <c r="E91" i="9"/>
  <c r="Q85" i="9"/>
  <c r="W86" i="9" s="1"/>
  <c r="F110" i="9" s="1"/>
  <c r="K85" i="9"/>
  <c r="W84" i="9"/>
  <c r="T84" i="9"/>
  <c r="Q84" i="9"/>
  <c r="K84" i="9"/>
  <c r="H84" i="9"/>
  <c r="E84" i="9"/>
  <c r="W83" i="9"/>
  <c r="T83" i="9"/>
  <c r="Q83" i="9"/>
  <c r="K83" i="9"/>
  <c r="H83" i="9"/>
  <c r="E83" i="9"/>
  <c r="W82" i="9"/>
  <c r="T82" i="9"/>
  <c r="Q82" i="9"/>
  <c r="K82" i="9"/>
  <c r="H82" i="9"/>
  <c r="E82" i="9"/>
  <c r="W81" i="9"/>
  <c r="T81" i="9"/>
  <c r="Q81" i="9"/>
  <c r="K81" i="9"/>
  <c r="H81" i="9"/>
  <c r="E81" i="9"/>
  <c r="W80" i="9"/>
  <c r="T80" i="9"/>
  <c r="Q80" i="9"/>
  <c r="K80" i="9"/>
  <c r="H80" i="9"/>
  <c r="E80" i="9"/>
  <c r="W79" i="9"/>
  <c r="T79" i="9"/>
  <c r="Q79" i="9"/>
  <c r="K79" i="9"/>
  <c r="H79" i="9"/>
  <c r="E79" i="9"/>
  <c r="W78" i="9"/>
  <c r="T78" i="9"/>
  <c r="Q78" i="9"/>
  <c r="K78" i="9"/>
  <c r="H78" i="9"/>
  <c r="E78" i="9"/>
  <c r="W77" i="9"/>
  <c r="T77" i="9"/>
  <c r="Q77" i="9"/>
  <c r="K77" i="9"/>
  <c r="H77" i="9"/>
  <c r="E77" i="9"/>
  <c r="W76" i="9"/>
  <c r="W85" i="9" s="1"/>
  <c r="T76" i="9"/>
  <c r="T85" i="9" s="1"/>
  <c r="Q76" i="9"/>
  <c r="K76" i="9"/>
  <c r="H76" i="9"/>
  <c r="H85" i="9" s="1"/>
  <c r="E76" i="9"/>
  <c r="E85" i="9" s="1"/>
  <c r="K86" i="9" s="1"/>
  <c r="D110" i="9" s="1"/>
  <c r="W71" i="9"/>
  <c r="T71" i="9"/>
  <c r="W70" i="9"/>
  <c r="T70" i="9"/>
  <c r="Q70" i="9"/>
  <c r="K70" i="9"/>
  <c r="H70" i="9"/>
  <c r="E70" i="9"/>
  <c r="W69" i="9"/>
  <c r="T69" i="9"/>
  <c r="Q69" i="9"/>
  <c r="K69" i="9"/>
  <c r="H69" i="9"/>
  <c r="E69" i="9"/>
  <c r="W68" i="9"/>
  <c r="T68" i="9"/>
  <c r="Q68" i="9"/>
  <c r="K68" i="9"/>
  <c r="H68" i="9"/>
  <c r="E68" i="9"/>
  <c r="W67" i="9"/>
  <c r="T67" i="9"/>
  <c r="Q67" i="9"/>
  <c r="K67" i="9"/>
  <c r="H67" i="9"/>
  <c r="E67" i="9"/>
  <c r="W66" i="9"/>
  <c r="T66" i="9"/>
  <c r="Q66" i="9"/>
  <c r="K66" i="9"/>
  <c r="H66" i="9"/>
  <c r="E66" i="9"/>
  <c r="W65" i="9"/>
  <c r="T65" i="9"/>
  <c r="Q65" i="9"/>
  <c r="K65" i="9"/>
  <c r="H65" i="9"/>
  <c r="E65" i="9"/>
  <c r="W64" i="9"/>
  <c r="T64" i="9"/>
  <c r="Q64" i="9"/>
  <c r="K64" i="9"/>
  <c r="H64" i="9"/>
  <c r="E64" i="9"/>
  <c r="W63" i="9"/>
  <c r="T63" i="9"/>
  <c r="Q63" i="9"/>
  <c r="K63" i="9"/>
  <c r="H63" i="9"/>
  <c r="H71" i="9" s="1"/>
  <c r="E63" i="9"/>
  <c r="E71" i="9" s="1"/>
  <c r="K72" i="9" s="1"/>
  <c r="D109" i="9" s="1"/>
  <c r="W62" i="9"/>
  <c r="T62" i="9"/>
  <c r="Q62" i="9"/>
  <c r="Q71" i="9" s="1"/>
  <c r="K62" i="9"/>
  <c r="K71" i="9" s="1"/>
  <c r="H62" i="9"/>
  <c r="E62" i="9"/>
  <c r="Q57" i="9"/>
  <c r="W58" i="9" s="1"/>
  <c r="F108" i="9" s="1"/>
  <c r="K57" i="9"/>
  <c r="W56" i="9"/>
  <c r="T56" i="9"/>
  <c r="Q56" i="9"/>
  <c r="K56" i="9"/>
  <c r="H56" i="9"/>
  <c r="E56" i="9"/>
  <c r="W55" i="9"/>
  <c r="T55" i="9"/>
  <c r="Q55" i="9"/>
  <c r="K55" i="9"/>
  <c r="H55" i="9"/>
  <c r="E55" i="9"/>
  <c r="W54" i="9"/>
  <c r="T54" i="9"/>
  <c r="Q54" i="9"/>
  <c r="K54" i="9"/>
  <c r="H54" i="9"/>
  <c r="E54" i="9"/>
  <c r="W53" i="9"/>
  <c r="T53" i="9"/>
  <c r="Q53" i="9"/>
  <c r="K53" i="9"/>
  <c r="H53" i="9"/>
  <c r="E53" i="9"/>
  <c r="W52" i="9"/>
  <c r="T52" i="9"/>
  <c r="Q52" i="9"/>
  <c r="K52" i="9"/>
  <c r="H52" i="9"/>
  <c r="E52" i="9"/>
  <c r="W51" i="9"/>
  <c r="T51" i="9"/>
  <c r="Q51" i="9"/>
  <c r="K51" i="9"/>
  <c r="H51" i="9"/>
  <c r="E51" i="9"/>
  <c r="W50" i="9"/>
  <c r="T50" i="9"/>
  <c r="Q50" i="9"/>
  <c r="K50" i="9"/>
  <c r="H50" i="9"/>
  <c r="E50" i="9"/>
  <c r="W49" i="9"/>
  <c r="T49" i="9"/>
  <c r="Q49" i="9"/>
  <c r="K49" i="9"/>
  <c r="H49" i="9"/>
  <c r="E49" i="9"/>
  <c r="W48" i="9"/>
  <c r="W57" i="9" s="1"/>
  <c r="T48" i="9"/>
  <c r="T57" i="9" s="1"/>
  <c r="Q48" i="9"/>
  <c r="K48" i="9"/>
  <c r="H48" i="9"/>
  <c r="H57" i="9" s="1"/>
  <c r="E48" i="9"/>
  <c r="E57" i="9" s="1"/>
  <c r="K58" i="9" s="1"/>
  <c r="D108" i="9" s="1"/>
  <c r="W43" i="9"/>
  <c r="T43" i="9"/>
  <c r="W42" i="9"/>
  <c r="T42" i="9"/>
  <c r="Q42" i="9"/>
  <c r="K42" i="9"/>
  <c r="H42" i="9"/>
  <c r="E42" i="9"/>
  <c r="W41" i="9"/>
  <c r="T41" i="9"/>
  <c r="Q41" i="9"/>
  <c r="K41" i="9"/>
  <c r="H41" i="9"/>
  <c r="E41" i="9"/>
  <c r="W40" i="9"/>
  <c r="T40" i="9"/>
  <c r="Q40" i="9"/>
  <c r="K40" i="9"/>
  <c r="H40" i="9"/>
  <c r="E40" i="9"/>
  <c r="W39" i="9"/>
  <c r="T39" i="9"/>
  <c r="Q39" i="9"/>
  <c r="K39" i="9"/>
  <c r="H39" i="9"/>
  <c r="E39" i="9"/>
  <c r="W38" i="9"/>
  <c r="T38" i="9"/>
  <c r="Q38" i="9"/>
  <c r="K38" i="9"/>
  <c r="H38" i="9"/>
  <c r="E38" i="9"/>
  <c r="W37" i="9"/>
  <c r="T37" i="9"/>
  <c r="Q37" i="9"/>
  <c r="K37" i="9"/>
  <c r="H37" i="9"/>
  <c r="E37" i="9"/>
  <c r="W36" i="9"/>
  <c r="T36" i="9"/>
  <c r="Q36" i="9"/>
  <c r="K36" i="9"/>
  <c r="H36" i="9"/>
  <c r="E36" i="9"/>
  <c r="W35" i="9"/>
  <c r="T35" i="9"/>
  <c r="Q35" i="9"/>
  <c r="K35" i="9"/>
  <c r="H35" i="9"/>
  <c r="H43" i="9" s="1"/>
  <c r="E35" i="9"/>
  <c r="E43" i="9" s="1"/>
  <c r="K44" i="9" s="1"/>
  <c r="D107" i="9" s="1"/>
  <c r="W34" i="9"/>
  <c r="T34" i="9"/>
  <c r="Q34" i="9"/>
  <c r="Q43" i="9" s="1"/>
  <c r="K34" i="9"/>
  <c r="K43" i="9" s="1"/>
  <c r="H34" i="9"/>
  <c r="E34" i="9"/>
  <c r="Q28" i="9"/>
  <c r="W29" i="9" s="1"/>
  <c r="F106" i="9" s="1"/>
  <c r="K28" i="9"/>
  <c r="W27" i="9"/>
  <c r="T27" i="9"/>
  <c r="Q27" i="9"/>
  <c r="K27" i="9"/>
  <c r="H27" i="9"/>
  <c r="E27" i="9"/>
  <c r="W26" i="9"/>
  <c r="T26" i="9"/>
  <c r="Q26" i="9"/>
  <c r="K26" i="9"/>
  <c r="H26" i="9"/>
  <c r="E26" i="9"/>
  <c r="W25" i="9"/>
  <c r="T25" i="9"/>
  <c r="Q25" i="9"/>
  <c r="K25" i="9"/>
  <c r="H25" i="9"/>
  <c r="E25" i="9"/>
  <c r="W24" i="9"/>
  <c r="T24" i="9"/>
  <c r="Q24" i="9"/>
  <c r="K24" i="9"/>
  <c r="H24" i="9"/>
  <c r="E24" i="9"/>
  <c r="W23" i="9"/>
  <c r="T23" i="9"/>
  <c r="Q23" i="9"/>
  <c r="K23" i="9"/>
  <c r="H23" i="9"/>
  <c r="E23" i="9"/>
  <c r="W22" i="9"/>
  <c r="T22" i="9"/>
  <c r="Q22" i="9"/>
  <c r="K22" i="9"/>
  <c r="H22" i="9"/>
  <c r="E22" i="9"/>
  <c r="W21" i="9"/>
  <c r="T21" i="9"/>
  <c r="Q21" i="9"/>
  <c r="K21" i="9"/>
  <c r="H21" i="9"/>
  <c r="E21" i="9"/>
  <c r="W20" i="9"/>
  <c r="T20" i="9"/>
  <c r="Q20" i="9"/>
  <c r="K20" i="9"/>
  <c r="H20" i="9"/>
  <c r="E20" i="9"/>
  <c r="W19" i="9"/>
  <c r="W28" i="9" s="1"/>
  <c r="T19" i="9"/>
  <c r="T28" i="9" s="1"/>
  <c r="Q19" i="9"/>
  <c r="K19" i="9"/>
  <c r="H19" i="9"/>
  <c r="H28" i="9" s="1"/>
  <c r="E19" i="9"/>
  <c r="E28" i="9" s="1"/>
  <c r="K29" i="9" s="1"/>
  <c r="D106" i="9" s="1"/>
  <c r="W14" i="9"/>
  <c r="T14" i="9"/>
  <c r="W13" i="9"/>
  <c r="T13" i="9"/>
  <c r="Q13" i="9"/>
  <c r="K13" i="9"/>
  <c r="H13" i="9"/>
  <c r="E13" i="9"/>
  <c r="W12" i="9"/>
  <c r="T12" i="9"/>
  <c r="Q12" i="9"/>
  <c r="K12" i="9"/>
  <c r="H12" i="9"/>
  <c r="E12" i="9"/>
  <c r="W11" i="9"/>
  <c r="T11" i="9"/>
  <c r="Q11" i="9"/>
  <c r="K11" i="9"/>
  <c r="H11" i="9"/>
  <c r="E11" i="9"/>
  <c r="W10" i="9"/>
  <c r="T10" i="9"/>
  <c r="Q10" i="9"/>
  <c r="K10" i="9"/>
  <c r="H10" i="9"/>
  <c r="E10" i="9"/>
  <c r="W9" i="9"/>
  <c r="T9" i="9"/>
  <c r="Q9" i="9"/>
  <c r="K9" i="9"/>
  <c r="H9" i="9"/>
  <c r="E9" i="9"/>
  <c r="W8" i="9"/>
  <c r="T8" i="9"/>
  <c r="Q8" i="9"/>
  <c r="K8" i="9"/>
  <c r="H8" i="9"/>
  <c r="E8" i="9"/>
  <c r="W7" i="9"/>
  <c r="T7" i="9"/>
  <c r="Q7" i="9"/>
  <c r="K7" i="9"/>
  <c r="H7" i="9"/>
  <c r="E7" i="9"/>
  <c r="W6" i="9"/>
  <c r="T6" i="9"/>
  <c r="Q6" i="9"/>
  <c r="K6" i="9"/>
  <c r="H6" i="9"/>
  <c r="H14" i="9" s="1"/>
  <c r="E6" i="9"/>
  <c r="E14" i="9" s="1"/>
  <c r="K15" i="9" s="1"/>
  <c r="C105" i="9" s="1"/>
  <c r="W5" i="9"/>
  <c r="T5" i="9"/>
  <c r="Q5" i="9"/>
  <c r="Q14" i="9" s="1"/>
  <c r="K5" i="9"/>
  <c r="K14" i="9" s="1"/>
  <c r="H5" i="9"/>
  <c r="E5" i="9"/>
  <c r="Q60" i="16"/>
  <c r="W61" i="16" s="1"/>
  <c r="K60" i="16"/>
  <c r="W59" i="16"/>
  <c r="T59" i="16"/>
  <c r="Q59" i="16"/>
  <c r="K59" i="16"/>
  <c r="H59" i="16"/>
  <c r="E59" i="16"/>
  <c r="W58" i="16"/>
  <c r="T58" i="16"/>
  <c r="Q58" i="16"/>
  <c r="K58" i="16"/>
  <c r="H58" i="16"/>
  <c r="E58" i="16"/>
  <c r="W57" i="16"/>
  <c r="T57" i="16"/>
  <c r="Q57" i="16"/>
  <c r="K57" i="16"/>
  <c r="H57" i="16"/>
  <c r="E57" i="16"/>
  <c r="W56" i="16"/>
  <c r="T56" i="16"/>
  <c r="Q56" i="16"/>
  <c r="K56" i="16"/>
  <c r="H56" i="16"/>
  <c r="E56" i="16"/>
  <c r="W55" i="16"/>
  <c r="T55" i="16"/>
  <c r="Q55" i="16"/>
  <c r="K55" i="16"/>
  <c r="H55" i="16"/>
  <c r="E55" i="16"/>
  <c r="W54" i="16"/>
  <c r="T54" i="16"/>
  <c r="Q54" i="16"/>
  <c r="K54" i="16"/>
  <c r="H54" i="16"/>
  <c r="E54" i="16"/>
  <c r="W53" i="16"/>
  <c r="T53" i="16"/>
  <c r="Q53" i="16"/>
  <c r="K53" i="16"/>
  <c r="H53" i="16"/>
  <c r="E53" i="16"/>
  <c r="W52" i="16"/>
  <c r="T52" i="16"/>
  <c r="Q52" i="16"/>
  <c r="K52" i="16"/>
  <c r="H52" i="16"/>
  <c r="E52" i="16"/>
  <c r="W51" i="16"/>
  <c r="W60" i="16" s="1"/>
  <c r="T51" i="16"/>
  <c r="T60" i="16" s="1"/>
  <c r="Q51" i="16"/>
  <c r="K51" i="16"/>
  <c r="H51" i="16"/>
  <c r="H60" i="16" s="1"/>
  <c r="E51" i="16"/>
  <c r="E60" i="16" s="1"/>
  <c r="K61" i="16" s="1"/>
  <c r="W45" i="16"/>
  <c r="T45" i="16"/>
  <c r="W44" i="16"/>
  <c r="T44" i="16"/>
  <c r="Q44" i="16"/>
  <c r="K44" i="16"/>
  <c r="H44" i="16"/>
  <c r="E44" i="16"/>
  <c r="W43" i="16"/>
  <c r="T43" i="16"/>
  <c r="Q43" i="16"/>
  <c r="K43" i="16"/>
  <c r="H43" i="16"/>
  <c r="E43" i="16"/>
  <c r="W42" i="16"/>
  <c r="T42" i="16"/>
  <c r="Q42" i="16"/>
  <c r="K42" i="16"/>
  <c r="H42" i="16"/>
  <c r="E42" i="16"/>
  <c r="W41" i="16"/>
  <c r="T41" i="16"/>
  <c r="Q41" i="16"/>
  <c r="K41" i="16"/>
  <c r="H41" i="16"/>
  <c r="E41" i="16"/>
  <c r="W40" i="16"/>
  <c r="T40" i="16"/>
  <c r="Q40" i="16"/>
  <c r="K40" i="16"/>
  <c r="H40" i="16"/>
  <c r="E40" i="16"/>
  <c r="W39" i="16"/>
  <c r="T39" i="16"/>
  <c r="Q39" i="16"/>
  <c r="K39" i="16"/>
  <c r="H39" i="16"/>
  <c r="E39" i="16"/>
  <c r="W38" i="16"/>
  <c r="T38" i="16"/>
  <c r="Q38" i="16"/>
  <c r="K38" i="16"/>
  <c r="H38" i="16"/>
  <c r="E38" i="16"/>
  <c r="W37" i="16"/>
  <c r="T37" i="16"/>
  <c r="Q37" i="16"/>
  <c r="K37" i="16"/>
  <c r="H37" i="16"/>
  <c r="H45" i="16" s="1"/>
  <c r="E37" i="16"/>
  <c r="E45" i="16" s="1"/>
  <c r="K46" i="16" s="1"/>
  <c r="W36" i="16"/>
  <c r="T36" i="16"/>
  <c r="Q36" i="16"/>
  <c r="Q45" i="16" s="1"/>
  <c r="K36" i="16"/>
  <c r="K45" i="16" s="1"/>
  <c r="H36" i="16"/>
  <c r="E36" i="16"/>
  <c r="Q29" i="16"/>
  <c r="W30" i="16" s="1"/>
  <c r="K29" i="16"/>
  <c r="W28" i="16"/>
  <c r="T28" i="16"/>
  <c r="Q28" i="16"/>
  <c r="K28" i="16"/>
  <c r="H28" i="16"/>
  <c r="E28" i="16"/>
  <c r="W27" i="16"/>
  <c r="T27" i="16"/>
  <c r="Q27" i="16"/>
  <c r="K27" i="16"/>
  <c r="H27" i="16"/>
  <c r="E27" i="16"/>
  <c r="W26" i="16"/>
  <c r="T26" i="16"/>
  <c r="Q26" i="16"/>
  <c r="K26" i="16"/>
  <c r="H26" i="16"/>
  <c r="E26" i="16"/>
  <c r="W25" i="16"/>
  <c r="T25" i="16"/>
  <c r="Q25" i="16"/>
  <c r="K25" i="16"/>
  <c r="H25" i="16"/>
  <c r="E25" i="16"/>
  <c r="W24" i="16"/>
  <c r="T24" i="16"/>
  <c r="Q24" i="16"/>
  <c r="K24" i="16"/>
  <c r="H24" i="16"/>
  <c r="E24" i="16"/>
  <c r="W23" i="16"/>
  <c r="T23" i="16"/>
  <c r="Q23" i="16"/>
  <c r="K23" i="16"/>
  <c r="H23" i="16"/>
  <c r="E23" i="16"/>
  <c r="W22" i="16"/>
  <c r="T22" i="16"/>
  <c r="Q22" i="16"/>
  <c r="K22" i="16"/>
  <c r="H22" i="16"/>
  <c r="E22" i="16"/>
  <c r="W21" i="16"/>
  <c r="T21" i="16"/>
  <c r="Q21" i="16"/>
  <c r="K21" i="16"/>
  <c r="H21" i="16"/>
  <c r="E21" i="16"/>
  <c r="W20" i="16"/>
  <c r="W29" i="16" s="1"/>
  <c r="T20" i="16"/>
  <c r="T29" i="16" s="1"/>
  <c r="Q20" i="16"/>
  <c r="K20" i="16"/>
  <c r="H20" i="16"/>
  <c r="H29" i="16" s="1"/>
  <c r="E20" i="16"/>
  <c r="E29" i="16" s="1"/>
  <c r="K30" i="16" s="1"/>
  <c r="W15" i="16"/>
  <c r="T15" i="16"/>
  <c r="W14" i="16"/>
  <c r="T14" i="16"/>
  <c r="Q14" i="16"/>
  <c r="K14" i="16"/>
  <c r="H14" i="16"/>
  <c r="E14" i="16"/>
  <c r="W13" i="16"/>
  <c r="T13" i="16"/>
  <c r="Q13" i="16"/>
  <c r="K13" i="16"/>
  <c r="H13" i="16"/>
  <c r="E13" i="16"/>
  <c r="W12" i="16"/>
  <c r="T12" i="16"/>
  <c r="Q12" i="16"/>
  <c r="K12" i="16"/>
  <c r="H12" i="16"/>
  <c r="E12" i="16"/>
  <c r="W11" i="16"/>
  <c r="T11" i="16"/>
  <c r="Q11" i="16"/>
  <c r="K11" i="16"/>
  <c r="H11" i="16"/>
  <c r="E11" i="16"/>
  <c r="W10" i="16"/>
  <c r="T10" i="16"/>
  <c r="Q10" i="16"/>
  <c r="K10" i="16"/>
  <c r="H10" i="16"/>
  <c r="E10" i="16"/>
  <c r="W9" i="16"/>
  <c r="T9" i="16"/>
  <c r="Q9" i="16"/>
  <c r="K9" i="16"/>
  <c r="H9" i="16"/>
  <c r="E9" i="16"/>
  <c r="W8" i="16"/>
  <c r="T8" i="16"/>
  <c r="Q8" i="16"/>
  <c r="K8" i="16"/>
  <c r="H8" i="16"/>
  <c r="E8" i="16"/>
  <c r="W7" i="16"/>
  <c r="T7" i="16"/>
  <c r="Q7" i="16"/>
  <c r="K7" i="16"/>
  <c r="H7" i="16"/>
  <c r="H15" i="16" s="1"/>
  <c r="E7" i="16"/>
  <c r="E15" i="16" s="1"/>
  <c r="K16" i="16" s="1"/>
  <c r="W6" i="16"/>
  <c r="T6" i="16"/>
  <c r="Q6" i="16"/>
  <c r="Q15" i="16" s="1"/>
  <c r="K6" i="16"/>
  <c r="K15" i="16" s="1"/>
  <c r="H6" i="16"/>
  <c r="E6" i="16"/>
  <c r="D79" i="14"/>
  <c r="Z74" i="14"/>
  <c r="W74" i="14"/>
  <c r="Z73" i="14"/>
  <c r="W73" i="14"/>
  <c r="T73" i="14"/>
  <c r="K73" i="14"/>
  <c r="H73" i="14"/>
  <c r="E73" i="14"/>
  <c r="Z72" i="14"/>
  <c r="W72" i="14"/>
  <c r="T72" i="14"/>
  <c r="K72" i="14"/>
  <c r="H72" i="14"/>
  <c r="E72" i="14"/>
  <c r="Z71" i="14"/>
  <c r="W71" i="14"/>
  <c r="T71" i="14"/>
  <c r="K71" i="14"/>
  <c r="H71" i="14"/>
  <c r="E71" i="14"/>
  <c r="Z70" i="14"/>
  <c r="W70" i="14"/>
  <c r="T70" i="14"/>
  <c r="K70" i="14"/>
  <c r="H70" i="14"/>
  <c r="E70" i="14"/>
  <c r="Z69" i="14"/>
  <c r="W69" i="14"/>
  <c r="T69" i="14"/>
  <c r="K69" i="14"/>
  <c r="H69" i="14"/>
  <c r="E69" i="14"/>
  <c r="Z68" i="14"/>
  <c r="W68" i="14"/>
  <c r="T68" i="14"/>
  <c r="K68" i="14"/>
  <c r="H68" i="14"/>
  <c r="E68" i="14"/>
  <c r="Z67" i="14"/>
  <c r="W67" i="14"/>
  <c r="T67" i="14"/>
  <c r="K67" i="14"/>
  <c r="H67" i="14"/>
  <c r="E67" i="14"/>
  <c r="Z66" i="14"/>
  <c r="W66" i="14"/>
  <c r="T66" i="14"/>
  <c r="K66" i="14"/>
  <c r="H66" i="14"/>
  <c r="H74" i="14" s="1"/>
  <c r="E66" i="14"/>
  <c r="E74" i="14" s="1"/>
  <c r="Z65" i="14"/>
  <c r="W65" i="14"/>
  <c r="T65" i="14"/>
  <c r="T74" i="14" s="1"/>
  <c r="K65" i="14"/>
  <c r="K74" i="14" s="1"/>
  <c r="H65" i="14"/>
  <c r="E65" i="14"/>
  <c r="T59" i="14"/>
  <c r="Z60" i="14" s="1"/>
  <c r="F81" i="14" s="1"/>
  <c r="K59" i="14"/>
  <c r="Z58" i="14"/>
  <c r="W58" i="14"/>
  <c r="T58" i="14"/>
  <c r="K58" i="14"/>
  <c r="H58" i="14"/>
  <c r="E58" i="14"/>
  <c r="Z57" i="14"/>
  <c r="W57" i="14"/>
  <c r="T57" i="14"/>
  <c r="K57" i="14"/>
  <c r="H57" i="14"/>
  <c r="E57" i="14"/>
  <c r="Z56" i="14"/>
  <c r="W56" i="14"/>
  <c r="T56" i="14"/>
  <c r="K56" i="14"/>
  <c r="H56" i="14"/>
  <c r="E56" i="14"/>
  <c r="Z55" i="14"/>
  <c r="W55" i="14"/>
  <c r="T55" i="14"/>
  <c r="K55" i="14"/>
  <c r="H55" i="14"/>
  <c r="E55" i="14"/>
  <c r="Z54" i="14"/>
  <c r="W54" i="14"/>
  <c r="T54" i="14"/>
  <c r="K54" i="14"/>
  <c r="H54" i="14"/>
  <c r="E54" i="14"/>
  <c r="Z53" i="14"/>
  <c r="W53" i="14"/>
  <c r="T53" i="14"/>
  <c r="K53" i="14"/>
  <c r="H53" i="14"/>
  <c r="E53" i="14"/>
  <c r="Z52" i="14"/>
  <c r="W52" i="14"/>
  <c r="T52" i="14"/>
  <c r="K52" i="14"/>
  <c r="H52" i="14"/>
  <c r="E52" i="14"/>
  <c r="Z51" i="14"/>
  <c r="W51" i="14"/>
  <c r="T51" i="14"/>
  <c r="K51" i="14"/>
  <c r="H51" i="14"/>
  <c r="E51" i="14"/>
  <c r="Z50" i="14"/>
  <c r="Z59" i="14" s="1"/>
  <c r="W50" i="14"/>
  <c r="W59" i="14" s="1"/>
  <c r="T50" i="14"/>
  <c r="K50" i="14"/>
  <c r="H50" i="14"/>
  <c r="H59" i="14" s="1"/>
  <c r="E50" i="14"/>
  <c r="E59" i="14" s="1"/>
  <c r="K60" i="14" s="1"/>
  <c r="D81" i="14" s="1"/>
  <c r="Z45" i="14"/>
  <c r="W45" i="14"/>
  <c r="Z44" i="14"/>
  <c r="W44" i="14"/>
  <c r="T44" i="14"/>
  <c r="K44" i="14"/>
  <c r="H44" i="14"/>
  <c r="E44" i="14"/>
  <c r="Z43" i="14"/>
  <c r="W43" i="14"/>
  <c r="T43" i="14"/>
  <c r="K43" i="14"/>
  <c r="H43" i="14"/>
  <c r="E43" i="14"/>
  <c r="Z42" i="14"/>
  <c r="W42" i="14"/>
  <c r="T42" i="14"/>
  <c r="K42" i="14"/>
  <c r="H42" i="14"/>
  <c r="E42" i="14"/>
  <c r="Z41" i="14"/>
  <c r="W41" i="14"/>
  <c r="T41" i="14"/>
  <c r="K41" i="14"/>
  <c r="H41" i="14"/>
  <c r="E41" i="14"/>
  <c r="Z40" i="14"/>
  <c r="W40" i="14"/>
  <c r="T40" i="14"/>
  <c r="K40" i="14"/>
  <c r="H40" i="14"/>
  <c r="E40" i="14"/>
  <c r="Z39" i="14"/>
  <c r="W39" i="14"/>
  <c r="T39" i="14"/>
  <c r="K39" i="14"/>
  <c r="H39" i="14"/>
  <c r="E39" i="14"/>
  <c r="Z38" i="14"/>
  <c r="W38" i="14"/>
  <c r="T38" i="14"/>
  <c r="K38" i="14"/>
  <c r="H38" i="14"/>
  <c r="E38" i="14"/>
  <c r="Z37" i="14"/>
  <c r="W37" i="14"/>
  <c r="T37" i="14"/>
  <c r="K37" i="14"/>
  <c r="H37" i="14"/>
  <c r="H45" i="14" s="1"/>
  <c r="E37" i="14"/>
  <c r="E45" i="14" s="1"/>
  <c r="Z36" i="14"/>
  <c r="W36" i="14"/>
  <c r="T36" i="14"/>
  <c r="T45" i="14" s="1"/>
  <c r="K36" i="14"/>
  <c r="K45" i="14" s="1"/>
  <c r="H36" i="14"/>
  <c r="E36" i="14"/>
  <c r="W30" i="14"/>
  <c r="T30" i="14"/>
  <c r="F79" i="14" s="1"/>
  <c r="AC29" i="14"/>
  <c r="Z29" i="14"/>
  <c r="W29" i="14"/>
  <c r="T29" i="14"/>
  <c r="N29" i="14"/>
  <c r="K29" i="14"/>
  <c r="H29" i="14"/>
  <c r="E29" i="14"/>
  <c r="AC28" i="14"/>
  <c r="Z28" i="14"/>
  <c r="W28" i="14"/>
  <c r="T28" i="14"/>
  <c r="N28" i="14"/>
  <c r="K28" i="14"/>
  <c r="H28" i="14"/>
  <c r="E28" i="14"/>
  <c r="AC27" i="14"/>
  <c r="Z27" i="14"/>
  <c r="W27" i="14"/>
  <c r="T27" i="14"/>
  <c r="N27" i="14"/>
  <c r="K27" i="14"/>
  <c r="H27" i="14"/>
  <c r="E27" i="14"/>
  <c r="AC26" i="14"/>
  <c r="Z26" i="14"/>
  <c r="W26" i="14"/>
  <c r="T26" i="14"/>
  <c r="N26" i="14"/>
  <c r="K26" i="14"/>
  <c r="H26" i="14"/>
  <c r="E26" i="14"/>
  <c r="AC25" i="14"/>
  <c r="Z25" i="14"/>
  <c r="W25" i="14"/>
  <c r="T25" i="14"/>
  <c r="N25" i="14"/>
  <c r="K25" i="14"/>
  <c r="H25" i="14"/>
  <c r="E25" i="14"/>
  <c r="AC24" i="14"/>
  <c r="Z24" i="14"/>
  <c r="W24" i="14"/>
  <c r="T24" i="14"/>
  <c r="N24" i="14"/>
  <c r="K24" i="14"/>
  <c r="H24" i="14"/>
  <c r="E24" i="14"/>
  <c r="AC23" i="14"/>
  <c r="Z23" i="14"/>
  <c r="W23" i="14"/>
  <c r="T23" i="14"/>
  <c r="N23" i="14"/>
  <c r="K23" i="14"/>
  <c r="H23" i="14"/>
  <c r="E23" i="14"/>
  <c r="AC22" i="14"/>
  <c r="Z22" i="14"/>
  <c r="W22" i="14"/>
  <c r="T22" i="14"/>
  <c r="N22" i="14"/>
  <c r="K22" i="14"/>
  <c r="H22" i="14"/>
  <c r="E22" i="14"/>
  <c r="AC21" i="14"/>
  <c r="AC30" i="14" s="1"/>
  <c r="Z21" i="14"/>
  <c r="Z30" i="14" s="1"/>
  <c r="W21" i="14"/>
  <c r="T21" i="14"/>
  <c r="N21" i="14"/>
  <c r="N30" i="14" s="1"/>
  <c r="K21" i="14"/>
  <c r="K30" i="14" s="1"/>
  <c r="H21" i="14"/>
  <c r="H30" i="14" s="1"/>
  <c r="E21" i="14"/>
  <c r="E30" i="14" s="1"/>
  <c r="W15" i="14"/>
  <c r="T15" i="14"/>
  <c r="Z16" i="14" s="1"/>
  <c r="Z14" i="14"/>
  <c r="W14" i="14"/>
  <c r="T14" i="14"/>
  <c r="K14" i="14"/>
  <c r="H14" i="14"/>
  <c r="E14" i="14"/>
  <c r="Z13" i="14"/>
  <c r="W13" i="14"/>
  <c r="T13" i="14"/>
  <c r="K13" i="14"/>
  <c r="H13" i="14"/>
  <c r="E13" i="14"/>
  <c r="Z12" i="14"/>
  <c r="W12" i="14"/>
  <c r="T12" i="14"/>
  <c r="K12" i="14"/>
  <c r="H12" i="14"/>
  <c r="E12" i="14"/>
  <c r="Z11" i="14"/>
  <c r="W11" i="14"/>
  <c r="T11" i="14"/>
  <c r="K11" i="14"/>
  <c r="H11" i="14"/>
  <c r="E11" i="14"/>
  <c r="Z10" i="14"/>
  <c r="W10" i="14"/>
  <c r="T10" i="14"/>
  <c r="K10" i="14"/>
  <c r="H10" i="14"/>
  <c r="E10" i="14"/>
  <c r="Z9" i="14"/>
  <c r="W9" i="14"/>
  <c r="T9" i="14"/>
  <c r="K9" i="14"/>
  <c r="H9" i="14"/>
  <c r="E9" i="14"/>
  <c r="Z8" i="14"/>
  <c r="W8" i="14"/>
  <c r="T8" i="14"/>
  <c r="K8" i="14"/>
  <c r="H8" i="14"/>
  <c r="E8" i="14"/>
  <c r="Z7" i="14"/>
  <c r="W7" i="14"/>
  <c r="T7" i="14"/>
  <c r="K7" i="14"/>
  <c r="H7" i="14"/>
  <c r="E7" i="14"/>
  <c r="E15" i="14" s="1"/>
  <c r="Z6" i="14"/>
  <c r="Z15" i="14" s="1"/>
  <c r="W6" i="14"/>
  <c r="T6" i="14"/>
  <c r="K6" i="14"/>
  <c r="K15" i="14" s="1"/>
  <c r="H6" i="14"/>
  <c r="H15" i="14" s="1"/>
  <c r="E6" i="14"/>
  <c r="W72" i="13"/>
  <c r="H72" i="13"/>
  <c r="W71" i="13"/>
  <c r="T71" i="13"/>
  <c r="Q71" i="13"/>
  <c r="K71" i="13"/>
  <c r="H71" i="13"/>
  <c r="E71" i="13"/>
  <c r="W70" i="13"/>
  <c r="T70" i="13"/>
  <c r="Q70" i="13"/>
  <c r="K70" i="13"/>
  <c r="H70" i="13"/>
  <c r="E70" i="13"/>
  <c r="W69" i="13"/>
  <c r="T69" i="13"/>
  <c r="Q69" i="13"/>
  <c r="K69" i="13"/>
  <c r="H69" i="13"/>
  <c r="E69" i="13"/>
  <c r="W68" i="13"/>
  <c r="T68" i="13"/>
  <c r="Q68" i="13"/>
  <c r="K68" i="13"/>
  <c r="H68" i="13"/>
  <c r="E68" i="13"/>
  <c r="W67" i="13"/>
  <c r="T67" i="13"/>
  <c r="Q67" i="13"/>
  <c r="K67" i="13"/>
  <c r="H67" i="13"/>
  <c r="E67" i="13"/>
  <c r="W66" i="13"/>
  <c r="T66" i="13"/>
  <c r="Q66" i="13"/>
  <c r="K66" i="13"/>
  <c r="H66" i="13"/>
  <c r="E66" i="13"/>
  <c r="W65" i="13"/>
  <c r="T65" i="13"/>
  <c r="Q65" i="13"/>
  <c r="K65" i="13"/>
  <c r="H65" i="13"/>
  <c r="E65" i="13"/>
  <c r="W64" i="13"/>
  <c r="T64" i="13"/>
  <c r="Q64" i="13"/>
  <c r="K64" i="13"/>
  <c r="K72" i="13" s="1"/>
  <c r="K73" i="13" s="1"/>
  <c r="H64" i="13"/>
  <c r="E64" i="13"/>
  <c r="W63" i="13"/>
  <c r="T63" i="13"/>
  <c r="T72" i="13" s="1"/>
  <c r="Q63" i="13"/>
  <c r="Q72" i="13" s="1"/>
  <c r="K63" i="13"/>
  <c r="H63" i="13"/>
  <c r="E63" i="13"/>
  <c r="E72" i="13" s="1"/>
  <c r="T57" i="13"/>
  <c r="Q57" i="13"/>
  <c r="W58" i="13" s="1"/>
  <c r="W56" i="13"/>
  <c r="T56" i="13"/>
  <c r="Q56" i="13"/>
  <c r="K56" i="13"/>
  <c r="H56" i="13"/>
  <c r="E56" i="13"/>
  <c r="W55" i="13"/>
  <c r="T55" i="13"/>
  <c r="Q55" i="13"/>
  <c r="K55" i="13"/>
  <c r="H55" i="13"/>
  <c r="E55" i="13"/>
  <c r="W54" i="13"/>
  <c r="T54" i="13"/>
  <c r="Q54" i="13"/>
  <c r="K54" i="13"/>
  <c r="H54" i="13"/>
  <c r="E54" i="13"/>
  <c r="W53" i="13"/>
  <c r="T53" i="13"/>
  <c r="Q53" i="13"/>
  <c r="K53" i="13"/>
  <c r="H53" i="13"/>
  <c r="E53" i="13"/>
  <c r="W52" i="13"/>
  <c r="T52" i="13"/>
  <c r="Q52" i="13"/>
  <c r="K52" i="13"/>
  <c r="H52" i="13"/>
  <c r="E52" i="13"/>
  <c r="W51" i="13"/>
  <c r="T51" i="13"/>
  <c r="Q51" i="13"/>
  <c r="K51" i="13"/>
  <c r="H51" i="13"/>
  <c r="E51" i="13"/>
  <c r="W50" i="13"/>
  <c r="T50" i="13"/>
  <c r="Q50" i="13"/>
  <c r="K50" i="13"/>
  <c r="H50" i="13"/>
  <c r="E50" i="13"/>
  <c r="W49" i="13"/>
  <c r="T49" i="13"/>
  <c r="Q49" i="13"/>
  <c r="K49" i="13"/>
  <c r="H49" i="13"/>
  <c r="E49" i="13"/>
  <c r="E57" i="13" s="1"/>
  <c r="K58" i="13" s="1"/>
  <c r="W48" i="13"/>
  <c r="W57" i="13" s="1"/>
  <c r="T48" i="13"/>
  <c r="Q48" i="13"/>
  <c r="K48" i="13"/>
  <c r="K57" i="13" s="1"/>
  <c r="H48" i="13"/>
  <c r="H57" i="13" s="1"/>
  <c r="E48" i="13"/>
  <c r="W43" i="13"/>
  <c r="H43" i="13"/>
  <c r="W42" i="13"/>
  <c r="T42" i="13"/>
  <c r="Q42" i="13"/>
  <c r="K42" i="13"/>
  <c r="H42" i="13"/>
  <c r="E42" i="13"/>
  <c r="W41" i="13"/>
  <c r="T41" i="13"/>
  <c r="Q41" i="13"/>
  <c r="K41" i="13"/>
  <c r="H41" i="13"/>
  <c r="E41" i="13"/>
  <c r="W40" i="13"/>
  <c r="T40" i="13"/>
  <c r="Q40" i="13"/>
  <c r="K40" i="13"/>
  <c r="H40" i="13"/>
  <c r="E40" i="13"/>
  <c r="W39" i="13"/>
  <c r="T39" i="13"/>
  <c r="Q39" i="13"/>
  <c r="K39" i="13"/>
  <c r="H39" i="13"/>
  <c r="E39" i="13"/>
  <c r="W38" i="13"/>
  <c r="T38" i="13"/>
  <c r="Q38" i="13"/>
  <c r="K38" i="13"/>
  <c r="H38" i="13"/>
  <c r="E38" i="13"/>
  <c r="W37" i="13"/>
  <c r="T37" i="13"/>
  <c r="Q37" i="13"/>
  <c r="K37" i="13"/>
  <c r="H37" i="13"/>
  <c r="E37" i="13"/>
  <c r="W36" i="13"/>
  <c r="T36" i="13"/>
  <c r="Q36" i="13"/>
  <c r="K36" i="13"/>
  <c r="H36" i="13"/>
  <c r="E36" i="13"/>
  <c r="W35" i="13"/>
  <c r="T35" i="13"/>
  <c r="Q35" i="13"/>
  <c r="K35" i="13"/>
  <c r="K43" i="13" s="1"/>
  <c r="K44" i="13" s="1"/>
  <c r="H35" i="13"/>
  <c r="E35" i="13"/>
  <c r="W34" i="13"/>
  <c r="T34" i="13"/>
  <c r="T43" i="13" s="1"/>
  <c r="Q34" i="13"/>
  <c r="Q43" i="13" s="1"/>
  <c r="K34" i="13"/>
  <c r="H34" i="13"/>
  <c r="E34" i="13"/>
  <c r="E43" i="13" s="1"/>
  <c r="T28" i="13"/>
  <c r="Q28" i="13"/>
  <c r="W29" i="13" s="1"/>
  <c r="W27" i="13"/>
  <c r="T27" i="13"/>
  <c r="Q27" i="13"/>
  <c r="K27" i="13"/>
  <c r="H27" i="13"/>
  <c r="E27" i="13"/>
  <c r="W26" i="13"/>
  <c r="T26" i="13"/>
  <c r="Q26" i="13"/>
  <c r="K26" i="13"/>
  <c r="H26" i="13"/>
  <c r="E26" i="13"/>
  <c r="W25" i="13"/>
  <c r="T25" i="13"/>
  <c r="Q25" i="13"/>
  <c r="K25" i="13"/>
  <c r="H25" i="13"/>
  <c r="E25" i="13"/>
  <c r="W24" i="13"/>
  <c r="T24" i="13"/>
  <c r="Q24" i="13"/>
  <c r="K24" i="13"/>
  <c r="H24" i="13"/>
  <c r="E24" i="13"/>
  <c r="W23" i="13"/>
  <c r="T23" i="13"/>
  <c r="Q23" i="13"/>
  <c r="K23" i="13"/>
  <c r="H23" i="13"/>
  <c r="E23" i="13"/>
  <c r="W22" i="13"/>
  <c r="T22" i="13"/>
  <c r="Q22" i="13"/>
  <c r="K22" i="13"/>
  <c r="H22" i="13"/>
  <c r="E22" i="13"/>
  <c r="W21" i="13"/>
  <c r="T21" i="13"/>
  <c r="Q21" i="13"/>
  <c r="K21" i="13"/>
  <c r="H21" i="13"/>
  <c r="E21" i="13"/>
  <c r="W20" i="13"/>
  <c r="T20" i="13"/>
  <c r="Q20" i="13"/>
  <c r="K20" i="13"/>
  <c r="H20" i="13"/>
  <c r="E20" i="13"/>
  <c r="E28" i="13" s="1"/>
  <c r="K29" i="13" s="1"/>
  <c r="W19" i="13"/>
  <c r="W28" i="13" s="1"/>
  <c r="T19" i="13"/>
  <c r="Q19" i="13"/>
  <c r="K19" i="13"/>
  <c r="K28" i="13" s="1"/>
  <c r="H19" i="13"/>
  <c r="H28" i="13" s="1"/>
  <c r="E19" i="13"/>
  <c r="W14" i="13"/>
  <c r="H14" i="13"/>
  <c r="W13" i="13"/>
  <c r="T13" i="13"/>
  <c r="Q13" i="13"/>
  <c r="K13" i="13"/>
  <c r="H13" i="13"/>
  <c r="E13" i="13"/>
  <c r="W12" i="13"/>
  <c r="T12" i="13"/>
  <c r="Q12" i="13"/>
  <c r="K12" i="13"/>
  <c r="H12" i="13"/>
  <c r="E12" i="13"/>
  <c r="W11" i="13"/>
  <c r="T11" i="13"/>
  <c r="Q11" i="13"/>
  <c r="K11" i="13"/>
  <c r="H11" i="13"/>
  <c r="E11" i="13"/>
  <c r="W10" i="13"/>
  <c r="T10" i="13"/>
  <c r="Q10" i="13"/>
  <c r="K10" i="13"/>
  <c r="H10" i="13"/>
  <c r="E10" i="13"/>
  <c r="W9" i="13"/>
  <c r="T9" i="13"/>
  <c r="Q9" i="13"/>
  <c r="K9" i="13"/>
  <c r="H9" i="13"/>
  <c r="E9" i="13"/>
  <c r="W8" i="13"/>
  <c r="T8" i="13"/>
  <c r="Q8" i="13"/>
  <c r="K8" i="13"/>
  <c r="H8" i="13"/>
  <c r="E8" i="13"/>
  <c r="W7" i="13"/>
  <c r="T7" i="13"/>
  <c r="Q7" i="13"/>
  <c r="K7" i="13"/>
  <c r="H7" i="13"/>
  <c r="E7" i="13"/>
  <c r="W6" i="13"/>
  <c r="T6" i="13"/>
  <c r="Q6" i="13"/>
  <c r="K6" i="13"/>
  <c r="K14" i="13" s="1"/>
  <c r="K15" i="13" s="1"/>
  <c r="H6" i="13"/>
  <c r="E6" i="13"/>
  <c r="W5" i="13"/>
  <c r="T5" i="13"/>
  <c r="T14" i="13" s="1"/>
  <c r="Q5" i="13"/>
  <c r="Q14" i="13" s="1"/>
  <c r="K5" i="13"/>
  <c r="H5" i="13"/>
  <c r="E5" i="13"/>
  <c r="E14" i="13" s="1"/>
  <c r="AJ98" i="8"/>
  <c r="AG98" i="8"/>
  <c r="AD98" i="8"/>
  <c r="AA98" i="8"/>
  <c r="X98" i="8"/>
  <c r="Q98" i="8"/>
  <c r="N98" i="8"/>
  <c r="K98" i="8"/>
  <c r="H98" i="8"/>
  <c r="E98" i="8"/>
  <c r="AJ97" i="8"/>
  <c r="AG97" i="8"/>
  <c r="AD97" i="8"/>
  <c r="AA97" i="8"/>
  <c r="X97" i="8"/>
  <c r="Q97" i="8"/>
  <c r="N97" i="8"/>
  <c r="K97" i="8"/>
  <c r="H97" i="8"/>
  <c r="E97" i="8"/>
  <c r="AJ96" i="8"/>
  <c r="AG96" i="8"/>
  <c r="AD96" i="8"/>
  <c r="AA96" i="8"/>
  <c r="X96" i="8"/>
  <c r="Q96" i="8"/>
  <c r="N96" i="8"/>
  <c r="K96" i="8"/>
  <c r="H96" i="8"/>
  <c r="E96" i="8"/>
  <c r="AJ95" i="8"/>
  <c r="AG95" i="8"/>
  <c r="AD95" i="8"/>
  <c r="AA95" i="8"/>
  <c r="X95" i="8"/>
  <c r="Q95" i="8"/>
  <c r="N95" i="8"/>
  <c r="K95" i="8"/>
  <c r="H95" i="8"/>
  <c r="E95" i="8"/>
  <c r="AJ94" i="8"/>
  <c r="AG94" i="8"/>
  <c r="AD94" i="8"/>
  <c r="AA94" i="8"/>
  <c r="X94" i="8"/>
  <c r="Q94" i="8"/>
  <c r="N94" i="8"/>
  <c r="K94" i="8"/>
  <c r="H94" i="8"/>
  <c r="E94" i="8"/>
  <c r="AJ93" i="8"/>
  <c r="AG93" i="8"/>
  <c r="X93" i="8"/>
  <c r="W93" i="8"/>
  <c r="Q93" i="8"/>
  <c r="N93" i="8"/>
  <c r="E93" i="8"/>
  <c r="AJ92" i="8"/>
  <c r="AG92" i="8"/>
  <c r="AD92" i="8"/>
  <c r="AA92" i="8"/>
  <c r="X92" i="8"/>
  <c r="Q92" i="8"/>
  <c r="N92" i="8"/>
  <c r="K92" i="8"/>
  <c r="H92" i="8"/>
  <c r="E92" i="8"/>
  <c r="AJ91" i="8"/>
  <c r="AG91" i="8"/>
  <c r="AG99" i="8" s="1"/>
  <c r="AD91" i="8"/>
  <c r="AA91" i="8"/>
  <c r="X91" i="8"/>
  <c r="Q91" i="8"/>
  <c r="Q99" i="8" s="1"/>
  <c r="N91" i="8"/>
  <c r="K91" i="8"/>
  <c r="H91" i="8"/>
  <c r="E91" i="8"/>
  <c r="E99" i="8" s="1"/>
  <c r="AJ90" i="8"/>
  <c r="AG90" i="8"/>
  <c r="AD90" i="8"/>
  <c r="AA90" i="8"/>
  <c r="X90" i="8"/>
  <c r="Q90" i="8"/>
  <c r="N90" i="8"/>
  <c r="N99" i="8" s="1"/>
  <c r="K90" i="8"/>
  <c r="H90" i="8"/>
  <c r="E90" i="8"/>
  <c r="C86" i="8"/>
  <c r="E86" i="8" s="1"/>
  <c r="J72" i="8" s="1"/>
  <c r="E85" i="8"/>
  <c r="C85" i="8"/>
  <c r="E84" i="8"/>
  <c r="D72" i="8" s="1"/>
  <c r="W72" i="8" s="1"/>
  <c r="AJ77" i="8"/>
  <c r="AG77" i="8"/>
  <c r="AD77" i="8"/>
  <c r="AA77" i="8"/>
  <c r="X77" i="8"/>
  <c r="Q77" i="8"/>
  <c r="N77" i="8"/>
  <c r="K77" i="8"/>
  <c r="H77" i="8"/>
  <c r="E77" i="8"/>
  <c r="AJ76" i="8"/>
  <c r="AG76" i="8"/>
  <c r="AD76" i="8"/>
  <c r="AA76" i="8"/>
  <c r="X76" i="8"/>
  <c r="Q76" i="8"/>
  <c r="N76" i="8"/>
  <c r="K76" i="8"/>
  <c r="H76" i="8"/>
  <c r="E76" i="8"/>
  <c r="AJ75" i="8"/>
  <c r="AG75" i="8"/>
  <c r="AD75" i="8"/>
  <c r="AA75" i="8"/>
  <c r="X75" i="8"/>
  <c r="Q75" i="8"/>
  <c r="N75" i="8"/>
  <c r="K75" i="8"/>
  <c r="H75" i="8"/>
  <c r="E75" i="8"/>
  <c r="AJ74" i="8"/>
  <c r="AG74" i="8"/>
  <c r="AD74" i="8"/>
  <c r="AA74" i="8"/>
  <c r="X74" i="8"/>
  <c r="Q74" i="8"/>
  <c r="N74" i="8"/>
  <c r="K74" i="8"/>
  <c r="H74" i="8"/>
  <c r="E74" i="8"/>
  <c r="AJ73" i="8"/>
  <c r="AG73" i="8"/>
  <c r="AD73" i="8"/>
  <c r="AA73" i="8"/>
  <c r="X73" i="8"/>
  <c r="Q73" i="8"/>
  <c r="N73" i="8"/>
  <c r="K73" i="8"/>
  <c r="H73" i="8"/>
  <c r="E73" i="8"/>
  <c r="AJ72" i="8"/>
  <c r="AG72" i="8"/>
  <c r="X72" i="8"/>
  <c r="Q72" i="8"/>
  <c r="N72" i="8"/>
  <c r="G72" i="8"/>
  <c r="H72" i="8" s="1"/>
  <c r="AJ71" i="8"/>
  <c r="AG71" i="8"/>
  <c r="AD71" i="8"/>
  <c r="AA71" i="8"/>
  <c r="X71" i="8"/>
  <c r="Q71" i="8"/>
  <c r="N71" i="8"/>
  <c r="K71" i="8"/>
  <c r="H71" i="8"/>
  <c r="E71" i="8"/>
  <c r="AJ70" i="8"/>
  <c r="AG70" i="8"/>
  <c r="AD70" i="8"/>
  <c r="AA70" i="8"/>
  <c r="X70" i="8"/>
  <c r="Q70" i="8"/>
  <c r="N70" i="8"/>
  <c r="K70" i="8"/>
  <c r="H70" i="8"/>
  <c r="E70" i="8"/>
  <c r="AJ69" i="8"/>
  <c r="AG69" i="8"/>
  <c r="AG78" i="8" s="1"/>
  <c r="AD69" i="8"/>
  <c r="AA69" i="8"/>
  <c r="X69" i="8"/>
  <c r="Q69" i="8"/>
  <c r="Q78" i="8" s="1"/>
  <c r="N69" i="8"/>
  <c r="N78" i="8" s="1"/>
  <c r="K69" i="8"/>
  <c r="H69" i="8"/>
  <c r="E69" i="8"/>
  <c r="Q62" i="8"/>
  <c r="N62" i="8"/>
  <c r="AJ61" i="8"/>
  <c r="AG61" i="8"/>
  <c r="AD61" i="8"/>
  <c r="AA61" i="8"/>
  <c r="X61" i="8"/>
  <c r="Q61" i="8"/>
  <c r="N61" i="8"/>
  <c r="K61" i="8"/>
  <c r="H61" i="8"/>
  <c r="E61" i="8"/>
  <c r="AJ60" i="8"/>
  <c r="AG60" i="8"/>
  <c r="AD60" i="8"/>
  <c r="AA60" i="8"/>
  <c r="X60" i="8"/>
  <c r="Q60" i="8"/>
  <c r="N60" i="8"/>
  <c r="K60" i="8"/>
  <c r="H60" i="8"/>
  <c r="E60" i="8"/>
  <c r="AJ59" i="8"/>
  <c r="AG59" i="8"/>
  <c r="AD59" i="8"/>
  <c r="AA59" i="8"/>
  <c r="X59" i="8"/>
  <c r="Q59" i="8"/>
  <c r="N59" i="8"/>
  <c r="K59" i="8"/>
  <c r="H59" i="8"/>
  <c r="E59" i="8"/>
  <c r="AJ58" i="8"/>
  <c r="AG58" i="8"/>
  <c r="AD58" i="8"/>
  <c r="AA58" i="8"/>
  <c r="X58" i="8"/>
  <c r="Q58" i="8"/>
  <c r="N58" i="8"/>
  <c r="K58" i="8"/>
  <c r="H58" i="8"/>
  <c r="E58" i="8"/>
  <c r="E62" i="8" s="1"/>
  <c r="AJ57" i="8"/>
  <c r="AG57" i="8"/>
  <c r="AD57" i="8"/>
  <c r="AA57" i="8"/>
  <c r="X57" i="8"/>
  <c r="Q57" i="8"/>
  <c r="N57" i="8"/>
  <c r="K57" i="8"/>
  <c r="H57" i="8"/>
  <c r="E57" i="8"/>
  <c r="AJ56" i="8"/>
  <c r="AG56" i="8"/>
  <c r="AG62" i="8" s="1"/>
  <c r="X56" i="8"/>
  <c r="W56" i="8"/>
  <c r="Q56" i="8"/>
  <c r="N56" i="8"/>
  <c r="E56" i="8"/>
  <c r="AJ55" i="8"/>
  <c r="AG55" i="8"/>
  <c r="AD55" i="8"/>
  <c r="AA55" i="8"/>
  <c r="X55" i="8"/>
  <c r="Q55" i="8"/>
  <c r="N55" i="8"/>
  <c r="K55" i="8"/>
  <c r="H55" i="8"/>
  <c r="E55" i="8"/>
  <c r="AJ54" i="8"/>
  <c r="AG54" i="8"/>
  <c r="AD54" i="8"/>
  <c r="AA54" i="8"/>
  <c r="X54" i="8"/>
  <c r="Q54" i="8"/>
  <c r="N54" i="8"/>
  <c r="K54" i="8"/>
  <c r="H54" i="8"/>
  <c r="E54" i="8"/>
  <c r="AJ53" i="8"/>
  <c r="AJ62" i="8" s="1"/>
  <c r="AG53" i="8"/>
  <c r="AD53" i="8"/>
  <c r="AA53" i="8"/>
  <c r="X53" i="8"/>
  <c r="Q53" i="8"/>
  <c r="N53" i="8"/>
  <c r="K53" i="8"/>
  <c r="H53" i="8"/>
  <c r="E53" i="8"/>
  <c r="AA47" i="8"/>
  <c r="X47" i="8"/>
  <c r="AG48" i="8" s="1"/>
  <c r="AG46" i="8"/>
  <c r="AD46" i="8"/>
  <c r="AA46" i="8"/>
  <c r="X46" i="8"/>
  <c r="N46" i="8"/>
  <c r="K46" i="8"/>
  <c r="H46" i="8"/>
  <c r="E46" i="8"/>
  <c r="AG45" i="8"/>
  <c r="AD45" i="8"/>
  <c r="AA45" i="8"/>
  <c r="X45" i="8"/>
  <c r="N45" i="8"/>
  <c r="K45" i="8"/>
  <c r="H45" i="8"/>
  <c r="E45" i="8"/>
  <c r="AG44" i="8"/>
  <c r="AD44" i="8"/>
  <c r="AA44" i="8"/>
  <c r="X44" i="8"/>
  <c r="N44" i="8"/>
  <c r="K44" i="8"/>
  <c r="H44" i="8"/>
  <c r="E44" i="8"/>
  <c r="AG43" i="8"/>
  <c r="AD43" i="8"/>
  <c r="AA43" i="8"/>
  <c r="X43" i="8"/>
  <c r="N43" i="8"/>
  <c r="K43" i="8"/>
  <c r="H43" i="8"/>
  <c r="E43" i="8"/>
  <c r="AG42" i="8"/>
  <c r="AD42" i="8"/>
  <c r="AA42" i="8"/>
  <c r="X42" i="8"/>
  <c r="N42" i="8"/>
  <c r="K42" i="8"/>
  <c r="H42" i="8"/>
  <c r="E42" i="8"/>
  <c r="AG41" i="8"/>
  <c r="AD41" i="8"/>
  <c r="AA41" i="8"/>
  <c r="X41" i="8"/>
  <c r="N41" i="8"/>
  <c r="K41" i="8"/>
  <c r="H41" i="8"/>
  <c r="E41" i="8"/>
  <c r="AG40" i="8"/>
  <c r="AD40" i="8"/>
  <c r="AA40" i="8"/>
  <c r="X40" i="8"/>
  <c r="N40" i="8"/>
  <c r="K40" i="8"/>
  <c r="H40" i="8"/>
  <c r="E40" i="8"/>
  <c r="AG39" i="8"/>
  <c r="AD39" i="8"/>
  <c r="AA39" i="8"/>
  <c r="X39" i="8"/>
  <c r="N39" i="8"/>
  <c r="K39" i="8"/>
  <c r="H39" i="8"/>
  <c r="E39" i="8"/>
  <c r="AG38" i="8"/>
  <c r="AG47" i="8" s="1"/>
  <c r="AD38" i="8"/>
  <c r="AD47" i="8" s="1"/>
  <c r="AA38" i="8"/>
  <c r="X38" i="8"/>
  <c r="N38" i="8"/>
  <c r="N47" i="8" s="1"/>
  <c r="K38" i="8"/>
  <c r="K47" i="8" s="1"/>
  <c r="H38" i="8"/>
  <c r="H47" i="8" s="1"/>
  <c r="E38" i="8"/>
  <c r="E47" i="8" s="1"/>
  <c r="N48" i="8" s="1"/>
  <c r="AA32" i="8"/>
  <c r="X32" i="8"/>
  <c r="AD31" i="8"/>
  <c r="AA31" i="8"/>
  <c r="X31" i="8"/>
  <c r="N31" i="8"/>
  <c r="K31" i="8"/>
  <c r="H31" i="8"/>
  <c r="E31" i="8"/>
  <c r="E30" i="8"/>
  <c r="AD29" i="8"/>
  <c r="AA29" i="8"/>
  <c r="X29" i="8"/>
  <c r="N29" i="8"/>
  <c r="K29" i="8"/>
  <c r="H29" i="8"/>
  <c r="E29" i="8"/>
  <c r="AD28" i="8"/>
  <c r="AA28" i="8"/>
  <c r="X28" i="8"/>
  <c r="N28" i="8"/>
  <c r="K28" i="8"/>
  <c r="H28" i="8"/>
  <c r="E28" i="8"/>
  <c r="AD27" i="8"/>
  <c r="AA27" i="8"/>
  <c r="X27" i="8"/>
  <c r="N27" i="8"/>
  <c r="K27" i="8"/>
  <c r="H27" i="8"/>
  <c r="E27" i="8"/>
  <c r="AD26" i="8"/>
  <c r="AA26" i="8"/>
  <c r="X26" i="8"/>
  <c r="N26" i="8"/>
  <c r="K26" i="8"/>
  <c r="H26" i="8"/>
  <c r="E26" i="8"/>
  <c r="AD25" i="8"/>
  <c r="AA25" i="8"/>
  <c r="X25" i="8"/>
  <c r="N25" i="8"/>
  <c r="K25" i="8"/>
  <c r="H25" i="8"/>
  <c r="E25" i="8"/>
  <c r="AD24" i="8"/>
  <c r="AA24" i="8"/>
  <c r="X24" i="8"/>
  <c r="N24" i="8"/>
  <c r="K24" i="8"/>
  <c r="H24" i="8"/>
  <c r="E24" i="8"/>
  <c r="AD23" i="8"/>
  <c r="AA23" i="8"/>
  <c r="X23" i="8"/>
  <c r="N23" i="8"/>
  <c r="K23" i="8"/>
  <c r="H23" i="8"/>
  <c r="E23" i="8"/>
  <c r="AD22" i="8"/>
  <c r="AD32" i="8" s="1"/>
  <c r="AA22" i="8"/>
  <c r="X22" i="8"/>
  <c r="N22" i="8"/>
  <c r="N32" i="8" s="1"/>
  <c r="K22" i="8"/>
  <c r="K32" i="8" s="1"/>
  <c r="H22" i="8"/>
  <c r="H32" i="8" s="1"/>
  <c r="E22" i="8"/>
  <c r="E32" i="8" s="1"/>
  <c r="AD15" i="8"/>
  <c r="AA15" i="8"/>
  <c r="X15" i="8"/>
  <c r="N15" i="8"/>
  <c r="K15" i="8"/>
  <c r="H15" i="8"/>
  <c r="E15" i="8"/>
  <c r="N14" i="8"/>
  <c r="K14" i="8"/>
  <c r="H14" i="8"/>
  <c r="E14" i="8"/>
  <c r="AD13" i="8"/>
  <c r="AA13" i="8"/>
  <c r="X13" i="8"/>
  <c r="N13" i="8"/>
  <c r="K13" i="8"/>
  <c r="H13" i="8"/>
  <c r="E13" i="8"/>
  <c r="AD12" i="8"/>
  <c r="AA12" i="8"/>
  <c r="X12" i="8"/>
  <c r="N12" i="8"/>
  <c r="K12" i="8"/>
  <c r="H12" i="8"/>
  <c r="E12" i="8"/>
  <c r="AD11" i="8"/>
  <c r="AA11" i="8"/>
  <c r="X11" i="8"/>
  <c r="N11" i="8"/>
  <c r="K11" i="8"/>
  <c r="H11" i="8"/>
  <c r="E11" i="8"/>
  <c r="AD10" i="8"/>
  <c r="AA10" i="8"/>
  <c r="X10" i="8"/>
  <c r="N10" i="8"/>
  <c r="K10" i="8"/>
  <c r="H10" i="8"/>
  <c r="E10" i="8"/>
  <c r="AD9" i="8"/>
  <c r="AA9" i="8"/>
  <c r="X9" i="8"/>
  <c r="N9" i="8"/>
  <c r="K9" i="8"/>
  <c r="H9" i="8"/>
  <c r="E9" i="8"/>
  <c r="AD8" i="8"/>
  <c r="AA8" i="8"/>
  <c r="X8" i="8"/>
  <c r="N8" i="8"/>
  <c r="K8" i="8"/>
  <c r="H8" i="8"/>
  <c r="E8" i="8"/>
  <c r="AD7" i="8"/>
  <c r="AA7" i="8"/>
  <c r="X7" i="8"/>
  <c r="X16" i="8" s="1"/>
  <c r="N7" i="8"/>
  <c r="K7" i="8"/>
  <c r="H7" i="8"/>
  <c r="E7" i="8"/>
  <c r="E16" i="8" s="1"/>
  <c r="E18" i="8" s="1"/>
  <c r="AD6" i="8"/>
  <c r="AD16" i="8" s="1"/>
  <c r="AA6" i="8"/>
  <c r="X6" i="8"/>
  <c r="N6" i="8"/>
  <c r="N16" i="8" s="1"/>
  <c r="N18" i="8" s="1"/>
  <c r="K6" i="8"/>
  <c r="K16" i="8" s="1"/>
  <c r="K18" i="8" s="1"/>
  <c r="H6" i="8"/>
  <c r="E6" i="8"/>
  <c r="W168" i="24"/>
  <c r="T168" i="24"/>
  <c r="Q168" i="24"/>
  <c r="K168" i="24"/>
  <c r="H168" i="24"/>
  <c r="E168" i="24"/>
  <c r="W167" i="24"/>
  <c r="T167" i="24"/>
  <c r="Q167" i="24"/>
  <c r="K167" i="24"/>
  <c r="H167" i="24"/>
  <c r="E167" i="24"/>
  <c r="W166" i="24"/>
  <c r="T166" i="24"/>
  <c r="Q166" i="24"/>
  <c r="K166" i="24"/>
  <c r="H166" i="24"/>
  <c r="E166" i="24"/>
  <c r="W165" i="24"/>
  <c r="T165" i="24"/>
  <c r="Q165" i="24"/>
  <c r="K165" i="24"/>
  <c r="H165" i="24"/>
  <c r="E165" i="24"/>
  <c r="W164" i="24"/>
  <c r="T164" i="24"/>
  <c r="Q164" i="24"/>
  <c r="K164" i="24"/>
  <c r="H164" i="24"/>
  <c r="E164" i="24"/>
  <c r="W163" i="24"/>
  <c r="T163" i="24"/>
  <c r="Q163" i="24"/>
  <c r="K163" i="24"/>
  <c r="H163" i="24"/>
  <c r="E163" i="24"/>
  <c r="W162" i="24"/>
  <c r="T162" i="24"/>
  <c r="Q162" i="24"/>
  <c r="K162" i="24"/>
  <c r="H162" i="24"/>
  <c r="E162" i="24"/>
  <c r="W161" i="24"/>
  <c r="T161" i="24"/>
  <c r="Q161" i="24"/>
  <c r="Q169" i="24" s="1"/>
  <c r="K161" i="24"/>
  <c r="K169" i="24" s="1"/>
  <c r="H161" i="24"/>
  <c r="E161" i="24"/>
  <c r="W160" i="24"/>
  <c r="W169" i="24" s="1"/>
  <c r="T160" i="24"/>
  <c r="T169" i="24" s="1"/>
  <c r="Q160" i="24"/>
  <c r="K160" i="24"/>
  <c r="H160" i="24"/>
  <c r="H169" i="24" s="1"/>
  <c r="E160" i="24"/>
  <c r="E169" i="24" s="1"/>
  <c r="W154" i="24"/>
  <c r="T154" i="24"/>
  <c r="Q154" i="24"/>
  <c r="K154" i="24"/>
  <c r="H154" i="24"/>
  <c r="E154" i="24"/>
  <c r="W153" i="24"/>
  <c r="T153" i="24"/>
  <c r="Q153" i="24"/>
  <c r="K153" i="24"/>
  <c r="H153" i="24"/>
  <c r="E153" i="24"/>
  <c r="W152" i="24"/>
  <c r="T152" i="24"/>
  <c r="Q152" i="24"/>
  <c r="K152" i="24"/>
  <c r="H152" i="24"/>
  <c r="E152" i="24"/>
  <c r="W151" i="24"/>
  <c r="T151" i="24"/>
  <c r="Q151" i="24"/>
  <c r="K151" i="24"/>
  <c r="H151" i="24"/>
  <c r="E151" i="24"/>
  <c r="W150" i="24"/>
  <c r="T150" i="24"/>
  <c r="Q150" i="24"/>
  <c r="K150" i="24"/>
  <c r="H150" i="24"/>
  <c r="E150" i="24"/>
  <c r="W149" i="24"/>
  <c r="T149" i="24"/>
  <c r="Q149" i="24"/>
  <c r="K149" i="24"/>
  <c r="H149" i="24"/>
  <c r="E149" i="24"/>
  <c r="W148" i="24"/>
  <c r="T148" i="24"/>
  <c r="Q148" i="24"/>
  <c r="K148" i="24"/>
  <c r="H148" i="24"/>
  <c r="E148" i="24"/>
  <c r="W147" i="24"/>
  <c r="T147" i="24"/>
  <c r="Q147" i="24"/>
  <c r="Q155" i="24" s="1"/>
  <c r="W171" i="24" s="1"/>
  <c r="K147" i="24"/>
  <c r="K155" i="24" s="1"/>
  <c r="H147" i="24"/>
  <c r="E147" i="24"/>
  <c r="W146" i="24"/>
  <c r="W155" i="24" s="1"/>
  <c r="T146" i="24"/>
  <c r="T155" i="24" s="1"/>
  <c r="Q146" i="24"/>
  <c r="K146" i="24"/>
  <c r="H146" i="24"/>
  <c r="H155" i="24" s="1"/>
  <c r="E146" i="24"/>
  <c r="E155" i="24" s="1"/>
  <c r="K171" i="24" s="1"/>
  <c r="W139" i="24"/>
  <c r="T139" i="24"/>
  <c r="Q139" i="24"/>
  <c r="K139" i="24"/>
  <c r="H139" i="24"/>
  <c r="E139" i="24"/>
  <c r="W138" i="24"/>
  <c r="T138" i="24"/>
  <c r="Q138" i="24"/>
  <c r="K138" i="24"/>
  <c r="H138" i="24"/>
  <c r="E138" i="24"/>
  <c r="W137" i="24"/>
  <c r="T137" i="24"/>
  <c r="Q137" i="24"/>
  <c r="K137" i="24"/>
  <c r="H137" i="24"/>
  <c r="E137" i="24"/>
  <c r="W136" i="24"/>
  <c r="T136" i="24"/>
  <c r="Q136" i="24"/>
  <c r="K136" i="24"/>
  <c r="H136" i="24"/>
  <c r="E136" i="24"/>
  <c r="W135" i="24"/>
  <c r="T135" i="24"/>
  <c r="Q135" i="24"/>
  <c r="K135" i="24"/>
  <c r="H135" i="24"/>
  <c r="E135" i="24"/>
  <c r="W134" i="24"/>
  <c r="T134" i="24"/>
  <c r="Q134" i="24"/>
  <c r="K134" i="24"/>
  <c r="H134" i="24"/>
  <c r="E134" i="24"/>
  <c r="W133" i="24"/>
  <c r="T133" i="24"/>
  <c r="Q133" i="24"/>
  <c r="K133" i="24"/>
  <c r="H133" i="24"/>
  <c r="E133" i="24"/>
  <c r="W132" i="24"/>
  <c r="T132" i="24"/>
  <c r="T140" i="24" s="1"/>
  <c r="Q132" i="24"/>
  <c r="K132" i="24"/>
  <c r="H132" i="24"/>
  <c r="H140" i="24" s="1"/>
  <c r="E132" i="24"/>
  <c r="E140" i="24" s="1"/>
  <c r="W131" i="24"/>
  <c r="W140" i="24" s="1"/>
  <c r="T131" i="24"/>
  <c r="Q131" i="24"/>
  <c r="Q140" i="24" s="1"/>
  <c r="K131" i="24"/>
  <c r="K140" i="24" s="1"/>
  <c r="H131" i="24"/>
  <c r="E131" i="24"/>
  <c r="U126" i="24"/>
  <c r="R126" i="24"/>
  <c r="O126" i="24"/>
  <c r="Q125" i="24"/>
  <c r="W124" i="24"/>
  <c r="T124" i="24"/>
  <c r="Q124" i="24"/>
  <c r="K124" i="24"/>
  <c r="H124" i="24"/>
  <c r="E124" i="24"/>
  <c r="W123" i="24"/>
  <c r="T123" i="24"/>
  <c r="Q123" i="24"/>
  <c r="K123" i="24"/>
  <c r="H123" i="24"/>
  <c r="E123" i="24"/>
  <c r="W122" i="24"/>
  <c r="T122" i="24"/>
  <c r="Q122" i="24"/>
  <c r="K122" i="24"/>
  <c r="H122" i="24"/>
  <c r="E122" i="24"/>
  <c r="W121" i="24"/>
  <c r="T121" i="24"/>
  <c r="Q121" i="24"/>
  <c r="K121" i="24"/>
  <c r="H121" i="24"/>
  <c r="E121" i="24"/>
  <c r="W120" i="24"/>
  <c r="T120" i="24"/>
  <c r="Q120" i="24"/>
  <c r="K120" i="24"/>
  <c r="H120" i="24"/>
  <c r="E120" i="24"/>
  <c r="W119" i="24"/>
  <c r="T119" i="24"/>
  <c r="Q119" i="24"/>
  <c r="K119" i="24"/>
  <c r="H119" i="24"/>
  <c r="E119" i="24"/>
  <c r="W118" i="24"/>
  <c r="T118" i="24"/>
  <c r="Q118" i="24"/>
  <c r="K118" i="24"/>
  <c r="H118" i="24"/>
  <c r="E118" i="24"/>
  <c r="W117" i="24"/>
  <c r="T117" i="24"/>
  <c r="Q117" i="24"/>
  <c r="K117" i="24"/>
  <c r="K125" i="24" s="1"/>
  <c r="H117" i="24"/>
  <c r="E117" i="24"/>
  <c r="W116" i="24"/>
  <c r="W125" i="24" s="1"/>
  <c r="T116" i="24"/>
  <c r="T125" i="24" s="1"/>
  <c r="Q116" i="24"/>
  <c r="K116" i="24"/>
  <c r="H116" i="24"/>
  <c r="H125" i="24" s="1"/>
  <c r="E116" i="24"/>
  <c r="E125" i="24" s="1"/>
  <c r="K141" i="24" s="1"/>
  <c r="AB110" i="24"/>
  <c r="W109" i="24"/>
  <c r="T109" i="24"/>
  <c r="Q109" i="24"/>
  <c r="K109" i="24"/>
  <c r="H109" i="24"/>
  <c r="E109" i="24"/>
  <c r="W108" i="24"/>
  <c r="T108" i="24"/>
  <c r="Q108" i="24"/>
  <c r="K108" i="24"/>
  <c r="H108" i="24"/>
  <c r="E108" i="24"/>
  <c r="W107" i="24"/>
  <c r="T107" i="24"/>
  <c r="Q107" i="24"/>
  <c r="K107" i="24"/>
  <c r="H107" i="24"/>
  <c r="E107" i="24"/>
  <c r="W106" i="24"/>
  <c r="T106" i="24"/>
  <c r="Q106" i="24"/>
  <c r="K106" i="24"/>
  <c r="H106" i="24"/>
  <c r="E106" i="24"/>
  <c r="W105" i="24"/>
  <c r="T105" i="24"/>
  <c r="Q105" i="24"/>
  <c r="K105" i="24"/>
  <c r="H105" i="24"/>
  <c r="E105" i="24"/>
  <c r="W104" i="24"/>
  <c r="T104" i="24"/>
  <c r="Q104" i="24"/>
  <c r="K104" i="24"/>
  <c r="H104" i="24"/>
  <c r="E104" i="24"/>
  <c r="W103" i="24"/>
  <c r="T103" i="24"/>
  <c r="Q103" i="24"/>
  <c r="K103" i="24"/>
  <c r="H103" i="24"/>
  <c r="E103" i="24"/>
  <c r="W102" i="24"/>
  <c r="T102" i="24"/>
  <c r="Q102" i="24"/>
  <c r="K102" i="24"/>
  <c r="K110" i="24" s="1"/>
  <c r="H102" i="24"/>
  <c r="E102" i="24"/>
  <c r="W101" i="24"/>
  <c r="W110" i="24" s="1"/>
  <c r="T101" i="24"/>
  <c r="T110" i="24" s="1"/>
  <c r="Q101" i="24"/>
  <c r="Q110" i="24" s="1"/>
  <c r="K101" i="24"/>
  <c r="H101" i="24"/>
  <c r="H110" i="24" s="1"/>
  <c r="E101" i="24"/>
  <c r="E110" i="24" s="1"/>
  <c r="U96" i="24"/>
  <c r="R96" i="24"/>
  <c r="O96" i="24"/>
  <c r="W95" i="24"/>
  <c r="W94" i="24"/>
  <c r="T94" i="24"/>
  <c r="Q94" i="24"/>
  <c r="K94" i="24"/>
  <c r="H94" i="24"/>
  <c r="E94" i="24"/>
  <c r="W93" i="24"/>
  <c r="T93" i="24"/>
  <c r="Q93" i="24"/>
  <c r="K93" i="24"/>
  <c r="H93" i="24"/>
  <c r="E93" i="24"/>
  <c r="W92" i="24"/>
  <c r="T92" i="24"/>
  <c r="Q92" i="24"/>
  <c r="K92" i="24"/>
  <c r="H92" i="24"/>
  <c r="E92" i="24"/>
  <c r="W91" i="24"/>
  <c r="T91" i="24"/>
  <c r="Q91" i="24"/>
  <c r="K91" i="24"/>
  <c r="H91" i="24"/>
  <c r="E91" i="24"/>
  <c r="W90" i="24"/>
  <c r="T90" i="24"/>
  <c r="Q90" i="24"/>
  <c r="K90" i="24"/>
  <c r="H90" i="24"/>
  <c r="E90" i="24"/>
  <c r="W89" i="24"/>
  <c r="T89" i="24"/>
  <c r="Q89" i="24"/>
  <c r="K89" i="24"/>
  <c r="H89" i="24"/>
  <c r="E89" i="24"/>
  <c r="W88" i="24"/>
  <c r="T88" i="24"/>
  <c r="Q88" i="24"/>
  <c r="K88" i="24"/>
  <c r="H88" i="24"/>
  <c r="E88" i="24"/>
  <c r="W87" i="24"/>
  <c r="T87" i="24"/>
  <c r="T95" i="24" s="1"/>
  <c r="Q87" i="24"/>
  <c r="K87" i="24"/>
  <c r="H87" i="24"/>
  <c r="H95" i="24" s="1"/>
  <c r="E87" i="24"/>
  <c r="E95" i="24" s="1"/>
  <c r="W86" i="24"/>
  <c r="T86" i="24"/>
  <c r="Q86" i="24"/>
  <c r="Q95" i="24" s="1"/>
  <c r="K86" i="24"/>
  <c r="K95" i="24" s="1"/>
  <c r="H86" i="24"/>
  <c r="E86" i="24"/>
  <c r="AL76" i="24"/>
  <c r="AG76" i="24"/>
  <c r="AC76" i="24"/>
  <c r="X76" i="24"/>
  <c r="Q76" i="24"/>
  <c r="N76" i="24"/>
  <c r="K76" i="24"/>
  <c r="H76" i="24"/>
  <c r="E76" i="24"/>
  <c r="AL75" i="24"/>
  <c r="AG75" i="24"/>
  <c r="AC75" i="24"/>
  <c r="X75" i="24"/>
  <c r="Q75" i="24"/>
  <c r="N75" i="24"/>
  <c r="K75" i="24"/>
  <c r="H75" i="24"/>
  <c r="E75" i="24"/>
  <c r="AL74" i="24"/>
  <c r="AG74" i="24"/>
  <c r="AC74" i="24"/>
  <c r="X74" i="24"/>
  <c r="Q74" i="24"/>
  <c r="N74" i="24"/>
  <c r="K74" i="24"/>
  <c r="H74" i="24"/>
  <c r="E74" i="24"/>
  <c r="AL73" i="24"/>
  <c r="AG73" i="24"/>
  <c r="AC73" i="24"/>
  <c r="X73" i="24"/>
  <c r="Q73" i="24"/>
  <c r="N73" i="24"/>
  <c r="K73" i="24"/>
  <c r="H73" i="24"/>
  <c r="E73" i="24"/>
  <c r="AL72" i="24"/>
  <c r="AG72" i="24"/>
  <c r="AC72" i="24"/>
  <c r="X72" i="24"/>
  <c r="Q72" i="24"/>
  <c r="N72" i="24"/>
  <c r="K72" i="24"/>
  <c r="H72" i="24"/>
  <c r="E72" i="24"/>
  <c r="AK71" i="24"/>
  <c r="AL71" i="24" s="1"/>
  <c r="AG71" i="24"/>
  <c r="AC71" i="24"/>
  <c r="X71" i="24"/>
  <c r="P71" i="24"/>
  <c r="Q71" i="24" s="1"/>
  <c r="J71" i="24"/>
  <c r="K71" i="24" s="1"/>
  <c r="H71" i="24"/>
  <c r="G71" i="24"/>
  <c r="M71" i="24" s="1"/>
  <c r="N71" i="24" s="1"/>
  <c r="E71" i="24"/>
  <c r="AL70" i="24"/>
  <c r="AG70" i="24"/>
  <c r="AC70" i="24"/>
  <c r="X70" i="24"/>
  <c r="Q70" i="24"/>
  <c r="N70" i="24"/>
  <c r="K70" i="24"/>
  <c r="H70" i="24"/>
  <c r="E70" i="24"/>
  <c r="AL69" i="24"/>
  <c r="AG69" i="24"/>
  <c r="AG77" i="24" s="1"/>
  <c r="AC69" i="24"/>
  <c r="X69" i="24"/>
  <c r="Q69" i="24"/>
  <c r="N69" i="24"/>
  <c r="K69" i="24"/>
  <c r="H69" i="24"/>
  <c r="E69" i="24"/>
  <c r="AL68" i="24"/>
  <c r="AL77" i="24" s="1"/>
  <c r="AG68" i="24"/>
  <c r="AC68" i="24"/>
  <c r="X68" i="24"/>
  <c r="X77" i="24" s="1"/>
  <c r="Q68" i="24"/>
  <c r="N68" i="24"/>
  <c r="N77" i="24" s="1"/>
  <c r="K68" i="24"/>
  <c r="H68" i="24"/>
  <c r="H77" i="24" s="1"/>
  <c r="E68" i="24"/>
  <c r="E77" i="24" s="1"/>
  <c r="W60" i="24"/>
  <c r="T60" i="24"/>
  <c r="Q60" i="24"/>
  <c r="K60" i="24"/>
  <c r="H60" i="24"/>
  <c r="E60" i="24"/>
  <c r="W59" i="24"/>
  <c r="T59" i="24"/>
  <c r="Q59" i="24"/>
  <c r="K59" i="24"/>
  <c r="H59" i="24"/>
  <c r="E59" i="24"/>
  <c r="W58" i="24"/>
  <c r="T58" i="24"/>
  <c r="Q58" i="24"/>
  <c r="K58" i="24"/>
  <c r="H58" i="24"/>
  <c r="E58" i="24"/>
  <c r="W57" i="24"/>
  <c r="T57" i="24"/>
  <c r="Q57" i="24"/>
  <c r="K57" i="24"/>
  <c r="H57" i="24"/>
  <c r="E57" i="24"/>
  <c r="W56" i="24"/>
  <c r="T56" i="24"/>
  <c r="Q56" i="24"/>
  <c r="K56" i="24"/>
  <c r="H56" i="24"/>
  <c r="E56" i="24"/>
  <c r="W55" i="24"/>
  <c r="T55" i="24"/>
  <c r="Q55" i="24"/>
  <c r="K55" i="24"/>
  <c r="H55" i="24"/>
  <c r="E55" i="24"/>
  <c r="W54" i="24"/>
  <c r="T54" i="24"/>
  <c r="Q54" i="24"/>
  <c r="K54" i="24"/>
  <c r="H54" i="24"/>
  <c r="E54" i="24"/>
  <c r="W53" i="24"/>
  <c r="T53" i="24"/>
  <c r="T61" i="24" s="1"/>
  <c r="Q53" i="24"/>
  <c r="Q61" i="24" s="1"/>
  <c r="K53" i="24"/>
  <c r="H53" i="24"/>
  <c r="E53" i="24"/>
  <c r="E61" i="24" s="1"/>
  <c r="W52" i="24"/>
  <c r="W61" i="24" s="1"/>
  <c r="T52" i="24"/>
  <c r="Q52" i="24"/>
  <c r="K52" i="24"/>
  <c r="K61" i="24" s="1"/>
  <c r="H52" i="24"/>
  <c r="H61" i="24" s="1"/>
  <c r="E52" i="24"/>
  <c r="W44" i="24"/>
  <c r="T44" i="24"/>
  <c r="Q44" i="24"/>
  <c r="K44" i="24"/>
  <c r="H44" i="24"/>
  <c r="E44" i="24"/>
  <c r="W43" i="24"/>
  <c r="T43" i="24"/>
  <c r="Q43" i="24"/>
  <c r="K43" i="24"/>
  <c r="H43" i="24"/>
  <c r="E43" i="24"/>
  <c r="W42" i="24"/>
  <c r="T42" i="24"/>
  <c r="Q42" i="24"/>
  <c r="K42" i="24"/>
  <c r="H42" i="24"/>
  <c r="E42" i="24"/>
  <c r="W41" i="24"/>
  <c r="T41" i="24"/>
  <c r="Q41" i="24"/>
  <c r="K41" i="24"/>
  <c r="H41" i="24"/>
  <c r="E41" i="24"/>
  <c r="W40" i="24"/>
  <c r="T40" i="24"/>
  <c r="Q40" i="24"/>
  <c r="K40" i="24"/>
  <c r="H40" i="24"/>
  <c r="E40" i="24"/>
  <c r="W39" i="24"/>
  <c r="T39" i="24"/>
  <c r="T45" i="24" s="1"/>
  <c r="Q39" i="24"/>
  <c r="W38" i="24"/>
  <c r="T38" i="24"/>
  <c r="Q38" i="24"/>
  <c r="K38" i="24"/>
  <c r="H38" i="24"/>
  <c r="E38" i="24"/>
  <c r="W37" i="24"/>
  <c r="T37" i="24"/>
  <c r="Q37" i="24"/>
  <c r="Q45" i="24" s="1"/>
  <c r="K37" i="24"/>
  <c r="H37" i="24"/>
  <c r="E37" i="24"/>
  <c r="W36" i="24"/>
  <c r="W45" i="24" s="1"/>
  <c r="W46" i="24" s="1"/>
  <c r="T36" i="24"/>
  <c r="Q36" i="24"/>
  <c r="K36" i="24"/>
  <c r="H36" i="24"/>
  <c r="E36" i="24"/>
  <c r="W29" i="24"/>
  <c r="T29" i="24"/>
  <c r="Q29" i="24"/>
  <c r="K29" i="24"/>
  <c r="H29" i="24"/>
  <c r="E29" i="24"/>
  <c r="W28" i="24"/>
  <c r="T28" i="24"/>
  <c r="Q28" i="24"/>
  <c r="K28" i="24"/>
  <c r="H28" i="24"/>
  <c r="E28" i="24"/>
  <c r="W27" i="24"/>
  <c r="T27" i="24"/>
  <c r="Q27" i="24"/>
  <c r="K27" i="24"/>
  <c r="H27" i="24"/>
  <c r="E27" i="24"/>
  <c r="W26" i="24"/>
  <c r="T26" i="24"/>
  <c r="Q26" i="24"/>
  <c r="K26" i="24"/>
  <c r="H26" i="24"/>
  <c r="E26" i="24"/>
  <c r="W25" i="24"/>
  <c r="T25" i="24"/>
  <c r="Q25" i="24"/>
  <c r="K25" i="24"/>
  <c r="H25" i="24"/>
  <c r="E25" i="24"/>
  <c r="W24" i="24"/>
  <c r="T24" i="24"/>
  <c r="T30" i="24" s="1"/>
  <c r="Q24" i="24"/>
  <c r="J24" i="24"/>
  <c r="K24" i="24" s="1"/>
  <c r="H24" i="24"/>
  <c r="G24" i="24"/>
  <c r="G39" i="24" s="1"/>
  <c r="H39" i="24" s="1"/>
  <c r="W23" i="24"/>
  <c r="T23" i="24"/>
  <c r="Q23" i="24"/>
  <c r="K23" i="24"/>
  <c r="H23" i="24"/>
  <c r="E23" i="24"/>
  <c r="W22" i="24"/>
  <c r="T22" i="24"/>
  <c r="Q22" i="24"/>
  <c r="Q30" i="24" s="1"/>
  <c r="K22" i="24"/>
  <c r="H22" i="24"/>
  <c r="E22" i="24"/>
  <c r="W21" i="24"/>
  <c r="W30" i="24" s="1"/>
  <c r="T21" i="24"/>
  <c r="Q21" i="24"/>
  <c r="K21" i="24"/>
  <c r="K30" i="24" s="1"/>
  <c r="H21" i="24"/>
  <c r="H30" i="24" s="1"/>
  <c r="E21" i="24"/>
  <c r="C17" i="24"/>
  <c r="C16" i="24"/>
  <c r="W14" i="24"/>
  <c r="T14" i="24"/>
  <c r="Q14" i="24"/>
  <c r="K14" i="24"/>
  <c r="H14" i="24"/>
  <c r="E14" i="24"/>
  <c r="W13" i="24"/>
  <c r="T13" i="24"/>
  <c r="Q13" i="24"/>
  <c r="K13" i="24"/>
  <c r="H13" i="24"/>
  <c r="E13" i="24"/>
  <c r="W12" i="24"/>
  <c r="T12" i="24"/>
  <c r="Q12" i="24"/>
  <c r="K12" i="24"/>
  <c r="H12" i="24"/>
  <c r="E12" i="24"/>
  <c r="W11" i="24"/>
  <c r="T11" i="24"/>
  <c r="Q11" i="24"/>
  <c r="K11" i="24"/>
  <c r="H11" i="24"/>
  <c r="E11" i="24"/>
  <c r="W10" i="24"/>
  <c r="T10" i="24"/>
  <c r="Q10" i="24"/>
  <c r="K10" i="24"/>
  <c r="H10" i="24"/>
  <c r="E10" i="24"/>
  <c r="V9" i="24"/>
  <c r="W9" i="24" s="1"/>
  <c r="T9" i="24"/>
  <c r="S9" i="24"/>
  <c r="K9" i="24"/>
  <c r="H9" i="24"/>
  <c r="W8" i="24"/>
  <c r="T8" i="24"/>
  <c r="Q8" i="24"/>
  <c r="K8" i="24"/>
  <c r="H8" i="24"/>
  <c r="E8" i="24"/>
  <c r="W7" i="24"/>
  <c r="T7" i="24"/>
  <c r="Q7" i="24"/>
  <c r="K7" i="24"/>
  <c r="K15" i="24" s="1"/>
  <c r="K16" i="24" s="1"/>
  <c r="H7" i="24"/>
  <c r="E7" i="24"/>
  <c r="W6" i="24"/>
  <c r="W15" i="24" s="1"/>
  <c r="W16" i="24" s="1"/>
  <c r="T6" i="24"/>
  <c r="T15" i="24" s="1"/>
  <c r="T16" i="24" s="1"/>
  <c r="Q6" i="24"/>
  <c r="K6" i="24"/>
  <c r="H6" i="24"/>
  <c r="H15" i="24" s="1"/>
  <c r="H16" i="24" s="1"/>
  <c r="E6" i="24"/>
  <c r="W165" i="17"/>
  <c r="T165" i="17"/>
  <c r="Q165" i="17"/>
  <c r="K165" i="17"/>
  <c r="H165" i="17"/>
  <c r="E165" i="17"/>
  <c r="W164" i="17"/>
  <c r="T164" i="17"/>
  <c r="Q164" i="17"/>
  <c r="K164" i="17"/>
  <c r="H164" i="17"/>
  <c r="E164" i="17"/>
  <c r="W163" i="17"/>
  <c r="T163" i="17"/>
  <c r="Q163" i="17"/>
  <c r="K163" i="17"/>
  <c r="H163" i="17"/>
  <c r="E163" i="17"/>
  <c r="W162" i="17"/>
  <c r="T162" i="17"/>
  <c r="Q162" i="17"/>
  <c r="K162" i="17"/>
  <c r="H162" i="17"/>
  <c r="E162" i="17"/>
  <c r="W161" i="17"/>
  <c r="T161" i="17"/>
  <c r="Q161" i="17"/>
  <c r="K161" i="17"/>
  <c r="H161" i="17"/>
  <c r="E161" i="17"/>
  <c r="W160" i="17"/>
  <c r="T160" i="17"/>
  <c r="Q160" i="17"/>
  <c r="K160" i="17"/>
  <c r="H160" i="17"/>
  <c r="E160" i="17"/>
  <c r="W159" i="17"/>
  <c r="T159" i="17"/>
  <c r="Q159" i="17"/>
  <c r="K159" i="17"/>
  <c r="H159" i="17"/>
  <c r="E159" i="17"/>
  <c r="W158" i="17"/>
  <c r="W166" i="17" s="1"/>
  <c r="T158" i="17"/>
  <c r="T166" i="17" s="1"/>
  <c r="Q158" i="17"/>
  <c r="K158" i="17"/>
  <c r="H158" i="17"/>
  <c r="H166" i="17" s="1"/>
  <c r="E158" i="17"/>
  <c r="E166" i="17" s="1"/>
  <c r="W157" i="17"/>
  <c r="T157" i="17"/>
  <c r="Q157" i="17"/>
  <c r="Q166" i="17" s="1"/>
  <c r="K157" i="17"/>
  <c r="K166" i="17" s="1"/>
  <c r="H157" i="17"/>
  <c r="E157" i="17"/>
  <c r="W150" i="17"/>
  <c r="T150" i="17"/>
  <c r="Q150" i="17"/>
  <c r="K150" i="17"/>
  <c r="H150" i="17"/>
  <c r="E150" i="17"/>
  <c r="W149" i="17"/>
  <c r="T149" i="17"/>
  <c r="Q149" i="17"/>
  <c r="K149" i="17"/>
  <c r="H149" i="17"/>
  <c r="E149" i="17"/>
  <c r="W148" i="17"/>
  <c r="T148" i="17"/>
  <c r="Q148" i="17"/>
  <c r="K148" i="17"/>
  <c r="H148" i="17"/>
  <c r="E148" i="17"/>
  <c r="W147" i="17"/>
  <c r="T147" i="17"/>
  <c r="Q147" i="17"/>
  <c r="K147" i="17"/>
  <c r="H147" i="17"/>
  <c r="E147" i="17"/>
  <c r="W146" i="17"/>
  <c r="T146" i="17"/>
  <c r="Q146" i="17"/>
  <c r="K146" i="17"/>
  <c r="H146" i="17"/>
  <c r="E146" i="17"/>
  <c r="W145" i="17"/>
  <c r="T145" i="17"/>
  <c r="Q145" i="17"/>
  <c r="K145" i="17"/>
  <c r="H145" i="17"/>
  <c r="E145" i="17"/>
  <c r="W144" i="17"/>
  <c r="T144" i="17"/>
  <c r="Q144" i="17"/>
  <c r="K144" i="17"/>
  <c r="H144" i="17"/>
  <c r="E144" i="17"/>
  <c r="W143" i="17"/>
  <c r="T143" i="17"/>
  <c r="Q143" i="17"/>
  <c r="Q151" i="17" s="1"/>
  <c r="K143" i="17"/>
  <c r="K151" i="17" s="1"/>
  <c r="H143" i="17"/>
  <c r="E143" i="17"/>
  <c r="W142" i="17"/>
  <c r="W151" i="17" s="1"/>
  <c r="T142" i="17"/>
  <c r="T151" i="17" s="1"/>
  <c r="Q142" i="17"/>
  <c r="K142" i="17"/>
  <c r="H142" i="17"/>
  <c r="H151" i="17" s="1"/>
  <c r="E142" i="17"/>
  <c r="E151" i="17" s="1"/>
  <c r="K152" i="17" s="1"/>
  <c r="X132" i="17"/>
  <c r="Q132" i="17"/>
  <c r="N132" i="17"/>
  <c r="K132" i="17"/>
  <c r="H132" i="17"/>
  <c r="E132" i="17"/>
  <c r="X131" i="17"/>
  <c r="Q131" i="17"/>
  <c r="N131" i="17"/>
  <c r="K131" i="17"/>
  <c r="H131" i="17"/>
  <c r="E131" i="17"/>
  <c r="X130" i="17"/>
  <c r="S130" i="17"/>
  <c r="Q130" i="17"/>
  <c r="N130" i="17"/>
  <c r="K130" i="17"/>
  <c r="H130" i="17"/>
  <c r="E130" i="17"/>
  <c r="X129" i="17"/>
  <c r="Q129" i="17"/>
  <c r="N129" i="17"/>
  <c r="K129" i="17"/>
  <c r="H129" i="17"/>
  <c r="E129" i="17"/>
  <c r="X128" i="17"/>
  <c r="Q128" i="17"/>
  <c r="N128" i="17"/>
  <c r="K128" i="17"/>
  <c r="H128" i="17"/>
  <c r="E128" i="17"/>
  <c r="X127" i="17"/>
  <c r="Q127" i="17"/>
  <c r="P127" i="17"/>
  <c r="K127" i="17"/>
  <c r="J127" i="17"/>
  <c r="G127" i="17"/>
  <c r="H127" i="17" s="1"/>
  <c r="E127" i="17"/>
  <c r="X126" i="17"/>
  <c r="Q126" i="17"/>
  <c r="N126" i="17"/>
  <c r="K126" i="17"/>
  <c r="H126" i="17"/>
  <c r="E126" i="17"/>
  <c r="X125" i="17"/>
  <c r="Q125" i="17"/>
  <c r="N125" i="17"/>
  <c r="K125" i="17"/>
  <c r="H125" i="17"/>
  <c r="E125" i="17"/>
  <c r="X124" i="17"/>
  <c r="X133" i="17" s="1"/>
  <c r="Q124" i="17"/>
  <c r="Q133" i="17" s="1"/>
  <c r="N124" i="17"/>
  <c r="K124" i="17"/>
  <c r="K133" i="17" s="1"/>
  <c r="H124" i="17"/>
  <c r="H133" i="17" s="1"/>
  <c r="E124" i="17"/>
  <c r="E133" i="17" s="1"/>
  <c r="K117" i="17"/>
  <c r="H117" i="17"/>
  <c r="E117" i="17"/>
  <c r="K116" i="17"/>
  <c r="H116" i="17"/>
  <c r="E116" i="17"/>
  <c r="K115" i="17"/>
  <c r="H115" i="17"/>
  <c r="E115" i="17"/>
  <c r="K114" i="17"/>
  <c r="H114" i="17"/>
  <c r="E114" i="17"/>
  <c r="K113" i="17"/>
  <c r="H113" i="17"/>
  <c r="E113" i="17"/>
  <c r="K112" i="17"/>
  <c r="H112" i="17"/>
  <c r="G112" i="17"/>
  <c r="E112" i="17"/>
  <c r="M111" i="17"/>
  <c r="K111" i="17"/>
  <c r="K118" i="17" s="1"/>
  <c r="H111" i="17"/>
  <c r="E111" i="17"/>
  <c r="K110" i="17"/>
  <c r="H110" i="17"/>
  <c r="E110" i="17"/>
  <c r="K109" i="17"/>
  <c r="H109" i="17"/>
  <c r="H118" i="17" s="1"/>
  <c r="E109" i="17"/>
  <c r="E118" i="17" s="1"/>
  <c r="L106" i="17"/>
  <c r="M105" i="17"/>
  <c r="L105" i="17"/>
  <c r="N103" i="17"/>
  <c r="N104" i="17" s="1"/>
  <c r="O102" i="17"/>
  <c r="O103" i="17" s="1"/>
  <c r="O104" i="17" s="1"/>
  <c r="N102" i="17"/>
  <c r="K102" i="17"/>
  <c r="H102" i="17"/>
  <c r="E102" i="17"/>
  <c r="K101" i="17"/>
  <c r="H101" i="17"/>
  <c r="E101" i="17"/>
  <c r="K100" i="17"/>
  <c r="H100" i="17"/>
  <c r="E100" i="17"/>
  <c r="K99" i="17"/>
  <c r="H99" i="17"/>
  <c r="E99" i="17"/>
  <c r="K98" i="17"/>
  <c r="H98" i="17"/>
  <c r="E98" i="17"/>
  <c r="K97" i="17"/>
  <c r="G97" i="17"/>
  <c r="H97" i="17" s="1"/>
  <c r="E97" i="17"/>
  <c r="K96" i="17"/>
  <c r="H96" i="17"/>
  <c r="E96" i="17"/>
  <c r="E103" i="17" s="1"/>
  <c r="E119" i="17" s="1"/>
  <c r="E120" i="17" s="1"/>
  <c r="K95" i="17"/>
  <c r="H95" i="17"/>
  <c r="E95" i="17"/>
  <c r="K94" i="17"/>
  <c r="H94" i="17"/>
  <c r="E94" i="17"/>
  <c r="T89" i="17"/>
  <c r="W88" i="17"/>
  <c r="T88" i="17"/>
  <c r="Q88" i="17"/>
  <c r="K88" i="17"/>
  <c r="H88" i="17"/>
  <c r="E88" i="17"/>
  <c r="W87" i="17"/>
  <c r="T87" i="17"/>
  <c r="Q87" i="17"/>
  <c r="K87" i="17"/>
  <c r="H87" i="17"/>
  <c r="E87" i="17"/>
  <c r="W86" i="17"/>
  <c r="T86" i="17"/>
  <c r="Q86" i="17"/>
  <c r="K86" i="17"/>
  <c r="H86" i="17"/>
  <c r="E86" i="17"/>
  <c r="W85" i="17"/>
  <c r="T85" i="17"/>
  <c r="Q85" i="17"/>
  <c r="K85" i="17"/>
  <c r="H85" i="17"/>
  <c r="E85" i="17"/>
  <c r="W84" i="17"/>
  <c r="T84" i="17"/>
  <c r="Q84" i="17"/>
  <c r="K84" i="17"/>
  <c r="H84" i="17"/>
  <c r="E84" i="17"/>
  <c r="W83" i="17"/>
  <c r="T83" i="17"/>
  <c r="Q83" i="17"/>
  <c r="K83" i="17"/>
  <c r="H83" i="17"/>
  <c r="E83" i="17"/>
  <c r="W82" i="17"/>
  <c r="T82" i="17"/>
  <c r="Q82" i="17"/>
  <c r="K82" i="17"/>
  <c r="H82" i="17"/>
  <c r="E82" i="17"/>
  <c r="W81" i="17"/>
  <c r="W89" i="17" s="1"/>
  <c r="T81" i="17"/>
  <c r="Q81" i="17"/>
  <c r="K81" i="17"/>
  <c r="H81" i="17"/>
  <c r="H89" i="17" s="1"/>
  <c r="E81" i="17"/>
  <c r="E89" i="17" s="1"/>
  <c r="W80" i="17"/>
  <c r="T80" i="17"/>
  <c r="Q80" i="17"/>
  <c r="Q89" i="17" s="1"/>
  <c r="K80" i="17"/>
  <c r="K89" i="17" s="1"/>
  <c r="H80" i="17"/>
  <c r="E80" i="17"/>
  <c r="U74" i="17"/>
  <c r="R74" i="17"/>
  <c r="O74" i="17"/>
  <c r="W72" i="17"/>
  <c r="T72" i="17"/>
  <c r="Q72" i="17"/>
  <c r="K72" i="17"/>
  <c r="H72" i="17"/>
  <c r="E72" i="17"/>
  <c r="W71" i="17"/>
  <c r="T71" i="17"/>
  <c r="Q71" i="17"/>
  <c r="K71" i="17"/>
  <c r="H71" i="17"/>
  <c r="E71" i="17"/>
  <c r="W70" i="17"/>
  <c r="T70" i="17"/>
  <c r="Q70" i="17"/>
  <c r="K70" i="17"/>
  <c r="H70" i="17"/>
  <c r="E70" i="17"/>
  <c r="W69" i="17"/>
  <c r="T69" i="17"/>
  <c r="Q69" i="17"/>
  <c r="K69" i="17"/>
  <c r="H69" i="17"/>
  <c r="E69" i="17"/>
  <c r="W68" i="17"/>
  <c r="T68" i="17"/>
  <c r="Q68" i="17"/>
  <c r="K68" i="17"/>
  <c r="H68" i="17"/>
  <c r="E68" i="17"/>
  <c r="W67" i="17"/>
  <c r="V67" i="17"/>
  <c r="T67" i="17"/>
  <c r="S67" i="17"/>
  <c r="Q67" i="17"/>
  <c r="P67" i="17"/>
  <c r="K67" i="17"/>
  <c r="J67" i="17"/>
  <c r="H67" i="17"/>
  <c r="G67" i="17"/>
  <c r="E67" i="17"/>
  <c r="D67" i="17"/>
  <c r="W66" i="17"/>
  <c r="T66" i="17"/>
  <c r="Q66" i="17"/>
  <c r="K66" i="17"/>
  <c r="H66" i="17"/>
  <c r="E66" i="17"/>
  <c r="W65" i="17"/>
  <c r="T65" i="17"/>
  <c r="Q65" i="17"/>
  <c r="K65" i="17"/>
  <c r="H65" i="17"/>
  <c r="E65" i="17"/>
  <c r="W64" i="17"/>
  <c r="W73" i="17" s="1"/>
  <c r="T64" i="17"/>
  <c r="Q64" i="17"/>
  <c r="K64" i="17"/>
  <c r="K73" i="17" s="1"/>
  <c r="K74" i="17" s="1"/>
  <c r="H64" i="17"/>
  <c r="H73" i="17" s="1"/>
  <c r="H74" i="17" s="1"/>
  <c r="E64" i="17"/>
  <c r="E73" i="17" s="1"/>
  <c r="E74" i="17" s="1"/>
  <c r="U60" i="17"/>
  <c r="R60" i="17"/>
  <c r="O60" i="17"/>
  <c r="AK58" i="17"/>
  <c r="AH58" i="17"/>
  <c r="AE58" i="17"/>
  <c r="W58" i="17"/>
  <c r="T58" i="17"/>
  <c r="Q58" i="17"/>
  <c r="K58" i="17"/>
  <c r="H58" i="17"/>
  <c r="E58" i="17"/>
  <c r="AK57" i="17"/>
  <c r="AH57" i="17"/>
  <c r="AE57" i="17"/>
  <c r="W57" i="17"/>
  <c r="T57" i="17"/>
  <c r="Q57" i="17"/>
  <c r="K57" i="17"/>
  <c r="H57" i="17"/>
  <c r="E57" i="17"/>
  <c r="AK56" i="17"/>
  <c r="AH56" i="17"/>
  <c r="AE56" i="17"/>
  <c r="W56" i="17"/>
  <c r="W59" i="17" s="1"/>
  <c r="T56" i="17"/>
  <c r="Q56" i="17"/>
  <c r="K56" i="17"/>
  <c r="H56" i="17"/>
  <c r="E56" i="17"/>
  <c r="AK55" i="17"/>
  <c r="AH55" i="17"/>
  <c r="AE55" i="17"/>
  <c r="W55" i="17"/>
  <c r="T55" i="17"/>
  <c r="Q55" i="17"/>
  <c r="K55" i="17"/>
  <c r="H55" i="17"/>
  <c r="E55" i="17"/>
  <c r="AK54" i="17"/>
  <c r="AH54" i="17"/>
  <c r="AE54" i="17"/>
  <c r="AE59" i="17" s="1"/>
  <c r="W54" i="17"/>
  <c r="T54" i="17"/>
  <c r="Q54" i="17"/>
  <c r="K54" i="17"/>
  <c r="H54" i="17"/>
  <c r="E54" i="17"/>
  <c r="AK53" i="17"/>
  <c r="AH53" i="17"/>
  <c r="AE53" i="17"/>
  <c r="V53" i="17"/>
  <c r="W53" i="17" s="1"/>
  <c r="T53" i="17"/>
  <c r="S53" i="17"/>
  <c r="P53" i="17"/>
  <c r="Q53" i="17" s="1"/>
  <c r="K53" i="17"/>
  <c r="J53" i="17"/>
  <c r="G53" i="17"/>
  <c r="H53" i="17" s="1"/>
  <c r="E53" i="17"/>
  <c r="D53" i="17"/>
  <c r="AK52" i="17"/>
  <c r="AH52" i="17"/>
  <c r="AE52" i="17"/>
  <c r="W52" i="17"/>
  <c r="T52" i="17"/>
  <c r="Q52" i="17"/>
  <c r="K52" i="17"/>
  <c r="H52" i="17"/>
  <c r="E52" i="17"/>
  <c r="AK51" i="17"/>
  <c r="AH51" i="17"/>
  <c r="AE51" i="17"/>
  <c r="W51" i="17"/>
  <c r="T51" i="17"/>
  <c r="Q51" i="17"/>
  <c r="K51" i="17"/>
  <c r="H51" i="17"/>
  <c r="E51" i="17"/>
  <c r="AK50" i="17"/>
  <c r="AH50" i="17"/>
  <c r="AE50" i="17"/>
  <c r="W50" i="17"/>
  <c r="T50" i="17"/>
  <c r="Q50" i="17"/>
  <c r="K50" i="17"/>
  <c r="H50" i="17"/>
  <c r="H59" i="17" s="1"/>
  <c r="H60" i="17" s="1"/>
  <c r="E50" i="17"/>
  <c r="AI44" i="17"/>
  <c r="AF44" i="17"/>
  <c r="AC44" i="17"/>
  <c r="W44" i="17"/>
  <c r="T44" i="17"/>
  <c r="Q44" i="17"/>
  <c r="K44" i="17"/>
  <c r="H44" i="17"/>
  <c r="E44" i="17"/>
  <c r="AI43" i="17"/>
  <c r="AF43" i="17"/>
  <c r="AC43" i="17"/>
  <c r="W43" i="17"/>
  <c r="T43" i="17"/>
  <c r="Q43" i="17"/>
  <c r="K43" i="17"/>
  <c r="H43" i="17"/>
  <c r="E43" i="17"/>
  <c r="AI42" i="17"/>
  <c r="AF42" i="17"/>
  <c r="AC42" i="17"/>
  <c r="W42" i="17"/>
  <c r="T42" i="17"/>
  <c r="Q42" i="17"/>
  <c r="K42" i="17"/>
  <c r="H42" i="17"/>
  <c r="E42" i="17"/>
  <c r="AI41" i="17"/>
  <c r="AF41" i="17"/>
  <c r="AC41" i="17"/>
  <c r="W41" i="17"/>
  <c r="T41" i="17"/>
  <c r="Q41" i="17"/>
  <c r="K41" i="17"/>
  <c r="H41" i="17"/>
  <c r="E41" i="17"/>
  <c r="AI40" i="17"/>
  <c r="AF40" i="17"/>
  <c r="AC40" i="17"/>
  <c r="W40" i="17"/>
  <c r="T40" i="17"/>
  <c r="Q40" i="17"/>
  <c r="K40" i="17"/>
  <c r="H40" i="17"/>
  <c r="H45" i="17" s="1"/>
  <c r="H46" i="17" s="1"/>
  <c r="E40" i="17"/>
  <c r="AI39" i="17"/>
  <c r="AF39" i="17"/>
  <c r="AC39" i="17"/>
  <c r="W39" i="17"/>
  <c r="T39" i="17"/>
  <c r="Q39" i="17"/>
  <c r="K39" i="17"/>
  <c r="H39" i="17"/>
  <c r="G39" i="17"/>
  <c r="AI38" i="17"/>
  <c r="AF38" i="17"/>
  <c r="AC38" i="17"/>
  <c r="W38" i="17"/>
  <c r="T38" i="17"/>
  <c r="Q38" i="17"/>
  <c r="K38" i="17"/>
  <c r="H38" i="17"/>
  <c r="E38" i="17"/>
  <c r="AI37" i="17"/>
  <c r="AF37" i="17"/>
  <c r="AC37" i="17"/>
  <c r="W37" i="17"/>
  <c r="T37" i="17"/>
  <c r="Q37" i="17"/>
  <c r="K37" i="17"/>
  <c r="H37" i="17"/>
  <c r="E37" i="17"/>
  <c r="AI36" i="17"/>
  <c r="AF36" i="17"/>
  <c r="AC36" i="17"/>
  <c r="W36" i="17"/>
  <c r="W45" i="17" s="1"/>
  <c r="T36" i="17"/>
  <c r="Q36" i="17"/>
  <c r="K36" i="17"/>
  <c r="H36" i="17"/>
  <c r="E36" i="17"/>
  <c r="W29" i="17"/>
  <c r="T29" i="17"/>
  <c r="Q29" i="17"/>
  <c r="K29" i="17"/>
  <c r="H29" i="17"/>
  <c r="E29" i="17"/>
  <c r="W28" i="17"/>
  <c r="T28" i="17"/>
  <c r="Q28" i="17"/>
  <c r="K28" i="17"/>
  <c r="H28" i="17"/>
  <c r="E28" i="17"/>
  <c r="W27" i="17"/>
  <c r="T27" i="17"/>
  <c r="Q27" i="17"/>
  <c r="K27" i="17"/>
  <c r="H27" i="17"/>
  <c r="E27" i="17"/>
  <c r="AE26" i="17"/>
  <c r="AD26" i="17"/>
  <c r="AC26" i="17"/>
  <c r="AC29" i="17" s="1"/>
  <c r="AC30" i="17" s="1"/>
  <c r="W26" i="17"/>
  <c r="T26" i="17"/>
  <c r="Q26" i="17"/>
  <c r="K26" i="17"/>
  <c r="H26" i="17"/>
  <c r="E26" i="17"/>
  <c r="W25" i="17"/>
  <c r="T25" i="17"/>
  <c r="Q25" i="17"/>
  <c r="K25" i="17"/>
  <c r="H25" i="17"/>
  <c r="E25" i="17"/>
  <c r="K24" i="17"/>
  <c r="J24" i="17"/>
  <c r="J39" i="17" s="1"/>
  <c r="H24" i="17"/>
  <c r="G24" i="17"/>
  <c r="W23" i="17"/>
  <c r="T23" i="17"/>
  <c r="Q23" i="17"/>
  <c r="K23" i="17"/>
  <c r="H23" i="17"/>
  <c r="E23" i="17"/>
  <c r="W22" i="17"/>
  <c r="T22" i="17"/>
  <c r="Q22" i="17"/>
  <c r="K22" i="17"/>
  <c r="H22" i="17"/>
  <c r="E22" i="17"/>
  <c r="W21" i="17"/>
  <c r="T21" i="17"/>
  <c r="Q21" i="17"/>
  <c r="K21" i="17"/>
  <c r="H21" i="17"/>
  <c r="E21" i="17"/>
  <c r="C17" i="17"/>
  <c r="C16" i="17"/>
  <c r="W14" i="17"/>
  <c r="T14" i="17"/>
  <c r="Q14" i="17"/>
  <c r="K14" i="17"/>
  <c r="H14" i="17"/>
  <c r="E14" i="17"/>
  <c r="W13" i="17"/>
  <c r="T13" i="17"/>
  <c r="Q13" i="17"/>
  <c r="K13" i="17"/>
  <c r="H13" i="17"/>
  <c r="E13" i="17"/>
  <c r="W12" i="17"/>
  <c r="T12" i="17"/>
  <c r="Q12" i="17"/>
  <c r="K12" i="17"/>
  <c r="H12" i="17"/>
  <c r="E12" i="17"/>
  <c r="W11" i="17"/>
  <c r="T11" i="17"/>
  <c r="Q11" i="17"/>
  <c r="K11" i="17"/>
  <c r="H11" i="17"/>
  <c r="E11" i="17"/>
  <c r="W10" i="17"/>
  <c r="T10" i="17"/>
  <c r="Q10" i="17"/>
  <c r="K10" i="17"/>
  <c r="H10" i="17"/>
  <c r="E10" i="17"/>
  <c r="V9" i="17"/>
  <c r="S9" i="17"/>
  <c r="T9" i="17" s="1"/>
  <c r="K9" i="17"/>
  <c r="H9" i="17"/>
  <c r="W8" i="17"/>
  <c r="T8" i="17"/>
  <c r="Q8" i="17"/>
  <c r="K8" i="17"/>
  <c r="H8" i="17"/>
  <c r="E8" i="17"/>
  <c r="W7" i="17"/>
  <c r="T7" i="17"/>
  <c r="Q7" i="17"/>
  <c r="K7" i="17"/>
  <c r="H7" i="17"/>
  <c r="H15" i="17" s="1"/>
  <c r="H16" i="17" s="1"/>
  <c r="E7" i="17"/>
  <c r="W6" i="17"/>
  <c r="T6" i="17"/>
  <c r="T15" i="17" s="1"/>
  <c r="T16" i="17" s="1"/>
  <c r="Q6" i="17"/>
  <c r="K6" i="17"/>
  <c r="H6" i="17"/>
  <c r="E6" i="17"/>
  <c r="T166" i="29"/>
  <c r="W165" i="29"/>
  <c r="T165" i="29"/>
  <c r="Q165" i="29"/>
  <c r="K165" i="29"/>
  <c r="H165" i="29"/>
  <c r="E165" i="29"/>
  <c r="W164" i="29"/>
  <c r="T164" i="29"/>
  <c r="Q164" i="29"/>
  <c r="K164" i="29"/>
  <c r="H164" i="29"/>
  <c r="E164" i="29"/>
  <c r="W163" i="29"/>
  <c r="T163" i="29"/>
  <c r="Q163" i="29"/>
  <c r="K163" i="29"/>
  <c r="H163" i="29"/>
  <c r="E163" i="29"/>
  <c r="W162" i="29"/>
  <c r="T162" i="29"/>
  <c r="Q162" i="29"/>
  <c r="K162" i="29"/>
  <c r="H162" i="29"/>
  <c r="E162" i="29"/>
  <c r="W161" i="29"/>
  <c r="T161" i="29"/>
  <c r="Q161" i="29"/>
  <c r="K161" i="29"/>
  <c r="H161" i="29"/>
  <c r="E161" i="29"/>
  <c r="W160" i="29"/>
  <c r="T160" i="29"/>
  <c r="Q160" i="29"/>
  <c r="K160" i="29"/>
  <c r="H160" i="29"/>
  <c r="E160" i="29"/>
  <c r="W159" i="29"/>
  <c r="T159" i="29"/>
  <c r="Q159" i="29"/>
  <c r="K159" i="29"/>
  <c r="H159" i="29"/>
  <c r="E159" i="29"/>
  <c r="W158" i="29"/>
  <c r="T158" i="29"/>
  <c r="Q158" i="29"/>
  <c r="Q166" i="29" s="1"/>
  <c r="K158" i="29"/>
  <c r="H158" i="29"/>
  <c r="E158" i="29"/>
  <c r="W157" i="29"/>
  <c r="W166" i="29" s="1"/>
  <c r="T157" i="29"/>
  <c r="Q157" i="29"/>
  <c r="K157" i="29"/>
  <c r="K166" i="29" s="1"/>
  <c r="H157" i="29"/>
  <c r="H166" i="29" s="1"/>
  <c r="E157" i="29"/>
  <c r="E166" i="29" s="1"/>
  <c r="K167" i="29" s="1"/>
  <c r="T151" i="29"/>
  <c r="W150" i="29"/>
  <c r="T150" i="29"/>
  <c r="Q150" i="29"/>
  <c r="K150" i="29"/>
  <c r="H150" i="29"/>
  <c r="E150" i="29"/>
  <c r="W149" i="29"/>
  <c r="T149" i="29"/>
  <c r="Q149" i="29"/>
  <c r="K149" i="29"/>
  <c r="H149" i="29"/>
  <c r="E149" i="29"/>
  <c r="W148" i="29"/>
  <c r="T148" i="29"/>
  <c r="Q148" i="29"/>
  <c r="K148" i="29"/>
  <c r="H148" i="29"/>
  <c r="E148" i="29"/>
  <c r="W147" i="29"/>
  <c r="T147" i="29"/>
  <c r="Q147" i="29"/>
  <c r="K147" i="29"/>
  <c r="H147" i="29"/>
  <c r="E147" i="29"/>
  <c r="W146" i="29"/>
  <c r="T146" i="29"/>
  <c r="Q146" i="29"/>
  <c r="K146" i="29"/>
  <c r="H146" i="29"/>
  <c r="E146" i="29"/>
  <c r="W145" i="29"/>
  <c r="T145" i="29"/>
  <c r="Q145" i="29"/>
  <c r="K145" i="29"/>
  <c r="H145" i="29"/>
  <c r="E145" i="29"/>
  <c r="W144" i="29"/>
  <c r="T144" i="29"/>
  <c r="Q144" i="29"/>
  <c r="K144" i="29"/>
  <c r="H144" i="29"/>
  <c r="E144" i="29"/>
  <c r="W143" i="29"/>
  <c r="W151" i="29" s="1"/>
  <c r="T143" i="29"/>
  <c r="Q143" i="29"/>
  <c r="K143" i="29"/>
  <c r="H143" i="29"/>
  <c r="H151" i="29" s="1"/>
  <c r="E143" i="29"/>
  <c r="W142" i="29"/>
  <c r="T142" i="29"/>
  <c r="Q142" i="29"/>
  <c r="Q151" i="29" s="1"/>
  <c r="K142" i="29"/>
  <c r="K151" i="29" s="1"/>
  <c r="H142" i="29"/>
  <c r="E142" i="29"/>
  <c r="E151" i="29" s="1"/>
  <c r="X133" i="29"/>
  <c r="K133" i="29"/>
  <c r="X132" i="29"/>
  <c r="Q132" i="29"/>
  <c r="N132" i="29"/>
  <c r="K132" i="29"/>
  <c r="H132" i="29"/>
  <c r="E132" i="29"/>
  <c r="X131" i="29"/>
  <c r="Q131" i="29"/>
  <c r="N131" i="29"/>
  <c r="K131" i="29"/>
  <c r="H131" i="29"/>
  <c r="E131" i="29"/>
  <c r="X130" i="29"/>
  <c r="Q130" i="29"/>
  <c r="N130" i="29"/>
  <c r="K130" i="29"/>
  <c r="H130" i="29"/>
  <c r="E130" i="29"/>
  <c r="X129" i="29"/>
  <c r="Q129" i="29"/>
  <c r="N129" i="29"/>
  <c r="K129" i="29"/>
  <c r="H129" i="29"/>
  <c r="E129" i="29"/>
  <c r="X128" i="29"/>
  <c r="Q128" i="29"/>
  <c r="N128" i="29"/>
  <c r="K128" i="29"/>
  <c r="H128" i="29"/>
  <c r="E128" i="29"/>
  <c r="X127" i="29"/>
  <c r="Q127" i="29"/>
  <c r="P127" i="29"/>
  <c r="K127" i="29"/>
  <c r="J127" i="29"/>
  <c r="H127" i="29"/>
  <c r="G127" i="29"/>
  <c r="M127" i="29" s="1"/>
  <c r="N127" i="29" s="1"/>
  <c r="E127" i="29"/>
  <c r="X126" i="29"/>
  <c r="Q126" i="29"/>
  <c r="N126" i="29"/>
  <c r="K126" i="29"/>
  <c r="H126" i="29"/>
  <c r="E126" i="29"/>
  <c r="X125" i="29"/>
  <c r="Q125" i="29"/>
  <c r="N125" i="29"/>
  <c r="K125" i="29"/>
  <c r="H125" i="29"/>
  <c r="H133" i="29" s="1"/>
  <c r="E125" i="29"/>
  <c r="X124" i="29"/>
  <c r="Q124" i="29"/>
  <c r="N124" i="29"/>
  <c r="K124" i="29"/>
  <c r="H124" i="29"/>
  <c r="E124" i="29"/>
  <c r="K117" i="29"/>
  <c r="H117" i="29"/>
  <c r="E117" i="29"/>
  <c r="K116" i="29"/>
  <c r="H116" i="29"/>
  <c r="E116" i="29"/>
  <c r="K115" i="29"/>
  <c r="H115" i="29"/>
  <c r="E115" i="29"/>
  <c r="K114" i="29"/>
  <c r="H114" i="29"/>
  <c r="E114" i="29"/>
  <c r="K113" i="29"/>
  <c r="H113" i="29"/>
  <c r="E113" i="29"/>
  <c r="K112" i="29"/>
  <c r="H112" i="29"/>
  <c r="G112" i="29"/>
  <c r="E112" i="29"/>
  <c r="K111" i="29"/>
  <c r="H111" i="29"/>
  <c r="E111" i="29"/>
  <c r="K110" i="29"/>
  <c r="H110" i="29"/>
  <c r="E110" i="29"/>
  <c r="K109" i="29"/>
  <c r="H109" i="29"/>
  <c r="E109" i="29"/>
  <c r="E118" i="29" s="1"/>
  <c r="K103" i="29"/>
  <c r="O102" i="29"/>
  <c r="O103" i="29" s="1"/>
  <c r="O104" i="29" s="1"/>
  <c r="N102" i="29"/>
  <c r="N103" i="29" s="1"/>
  <c r="N104" i="29" s="1"/>
  <c r="K102" i="29"/>
  <c r="H102" i="29"/>
  <c r="E102" i="29"/>
  <c r="K101" i="29"/>
  <c r="H101" i="29"/>
  <c r="E101" i="29"/>
  <c r="K100" i="29"/>
  <c r="H100" i="29"/>
  <c r="E100" i="29"/>
  <c r="K99" i="29"/>
  <c r="H99" i="29"/>
  <c r="E99" i="29"/>
  <c r="K98" i="29"/>
  <c r="H98" i="29"/>
  <c r="E98" i="29"/>
  <c r="K97" i="29"/>
  <c r="G97" i="29"/>
  <c r="H97" i="29" s="1"/>
  <c r="E97" i="29"/>
  <c r="K96" i="29"/>
  <c r="H96" i="29"/>
  <c r="E96" i="29"/>
  <c r="K95" i="29"/>
  <c r="H95" i="29"/>
  <c r="E95" i="29"/>
  <c r="K94" i="29"/>
  <c r="H94" i="29"/>
  <c r="E94" i="29"/>
  <c r="E103" i="29" s="1"/>
  <c r="T89" i="29"/>
  <c r="W88" i="29"/>
  <c r="T88" i="29"/>
  <c r="Q88" i="29"/>
  <c r="K88" i="29"/>
  <c r="H88" i="29"/>
  <c r="E88" i="29"/>
  <c r="W87" i="29"/>
  <c r="T87" i="29"/>
  <c r="Q87" i="29"/>
  <c r="K87" i="29"/>
  <c r="H87" i="29"/>
  <c r="E87" i="29"/>
  <c r="W86" i="29"/>
  <c r="T86" i="29"/>
  <c r="Q86" i="29"/>
  <c r="K86" i="29"/>
  <c r="H86" i="29"/>
  <c r="E86" i="29"/>
  <c r="W85" i="29"/>
  <c r="T85" i="29"/>
  <c r="Q85" i="29"/>
  <c r="K85" i="29"/>
  <c r="H85" i="29"/>
  <c r="E85" i="29"/>
  <c r="W84" i="29"/>
  <c r="T84" i="29"/>
  <c r="Q84" i="29"/>
  <c r="K84" i="29"/>
  <c r="H84" i="29"/>
  <c r="E84" i="29"/>
  <c r="W83" i="29"/>
  <c r="T83" i="29"/>
  <c r="Q83" i="29"/>
  <c r="K83" i="29"/>
  <c r="H83" i="29"/>
  <c r="E83" i="29"/>
  <c r="W82" i="29"/>
  <c r="T82" i="29"/>
  <c r="Q82" i="29"/>
  <c r="K82" i="29"/>
  <c r="H82" i="29"/>
  <c r="E82" i="29"/>
  <c r="W81" i="29"/>
  <c r="W89" i="29" s="1"/>
  <c r="T81" i="29"/>
  <c r="Q81" i="29"/>
  <c r="K81" i="29"/>
  <c r="H81" i="29"/>
  <c r="H89" i="29" s="1"/>
  <c r="E81" i="29"/>
  <c r="W80" i="29"/>
  <c r="T80" i="29"/>
  <c r="Q80" i="29"/>
  <c r="Q89" i="29" s="1"/>
  <c r="K80" i="29"/>
  <c r="K89" i="29" s="1"/>
  <c r="H80" i="29"/>
  <c r="E80" i="29"/>
  <c r="E89" i="29" s="1"/>
  <c r="U74" i="29"/>
  <c r="R74" i="29"/>
  <c r="O74" i="29"/>
  <c r="E74" i="29"/>
  <c r="W72" i="29"/>
  <c r="T72" i="29"/>
  <c r="Q72" i="29"/>
  <c r="K72" i="29"/>
  <c r="H72" i="29"/>
  <c r="E72" i="29"/>
  <c r="W71" i="29"/>
  <c r="T71" i="29"/>
  <c r="Q71" i="29"/>
  <c r="K71" i="29"/>
  <c r="H71" i="29"/>
  <c r="E71" i="29"/>
  <c r="W70" i="29"/>
  <c r="T70" i="29"/>
  <c r="Q70" i="29"/>
  <c r="K70" i="29"/>
  <c r="H70" i="29"/>
  <c r="E70" i="29"/>
  <c r="W69" i="29"/>
  <c r="T69" i="29"/>
  <c r="Q69" i="29"/>
  <c r="K69" i="29"/>
  <c r="H69" i="29"/>
  <c r="E69" i="29"/>
  <c r="W68" i="29"/>
  <c r="T68" i="29"/>
  <c r="Q68" i="29"/>
  <c r="K68" i="29"/>
  <c r="H68" i="29"/>
  <c r="E68" i="29"/>
  <c r="W67" i="29"/>
  <c r="S67" i="29"/>
  <c r="T67" i="29" s="1"/>
  <c r="P67" i="29"/>
  <c r="Q67" i="29" s="1"/>
  <c r="J67" i="29"/>
  <c r="K67" i="29" s="1"/>
  <c r="G67" i="29"/>
  <c r="H67" i="29" s="1"/>
  <c r="H73" i="29" s="1"/>
  <c r="H74" i="29" s="1"/>
  <c r="D67" i="29"/>
  <c r="E67" i="29" s="1"/>
  <c r="W66" i="29"/>
  <c r="T66" i="29"/>
  <c r="Q66" i="29"/>
  <c r="K66" i="29"/>
  <c r="H66" i="29"/>
  <c r="E66" i="29"/>
  <c r="W65" i="29"/>
  <c r="T65" i="29"/>
  <c r="Q65" i="29"/>
  <c r="K65" i="29"/>
  <c r="H65" i="29"/>
  <c r="E65" i="29"/>
  <c r="W64" i="29"/>
  <c r="T64" i="29"/>
  <c r="T73" i="29" s="1"/>
  <c r="Q64" i="29"/>
  <c r="K64" i="29"/>
  <c r="H64" i="29"/>
  <c r="E64" i="29"/>
  <c r="E73" i="29" s="1"/>
  <c r="U60" i="29"/>
  <c r="R60" i="29"/>
  <c r="O60" i="29"/>
  <c r="AE59" i="29"/>
  <c r="AK58" i="29"/>
  <c r="AH58" i="29"/>
  <c r="W58" i="29"/>
  <c r="T58" i="29"/>
  <c r="Q58" i="29"/>
  <c r="K58" i="29"/>
  <c r="H58" i="29"/>
  <c r="E58" i="29"/>
  <c r="AK57" i="29"/>
  <c r="AH57" i="29"/>
  <c r="W57" i="29"/>
  <c r="T57" i="29"/>
  <c r="Q57" i="29"/>
  <c r="K57" i="29"/>
  <c r="H57" i="29"/>
  <c r="E57" i="29"/>
  <c r="AK56" i="29"/>
  <c r="AH56" i="29"/>
  <c r="W56" i="29"/>
  <c r="T56" i="29"/>
  <c r="Q56" i="29"/>
  <c r="K56" i="29"/>
  <c r="H56" i="29"/>
  <c r="E56" i="29"/>
  <c r="AK55" i="29"/>
  <c r="AH55" i="29"/>
  <c r="W55" i="29"/>
  <c r="T55" i="29"/>
  <c r="Q55" i="29"/>
  <c r="K55" i="29"/>
  <c r="H55" i="29"/>
  <c r="E55" i="29"/>
  <c r="AK54" i="29"/>
  <c r="AH54" i="29"/>
  <c r="W54" i="29"/>
  <c r="T54" i="29"/>
  <c r="Q54" i="29"/>
  <c r="K54" i="29"/>
  <c r="H54" i="29"/>
  <c r="E54" i="29"/>
  <c r="AK53" i="29"/>
  <c r="AJ53" i="29"/>
  <c r="V67" i="29" s="1"/>
  <c r="AH53" i="29"/>
  <c r="AH59" i="29" s="1"/>
  <c r="AH60" i="29" s="1"/>
  <c r="AG53" i="29"/>
  <c r="W53" i="29"/>
  <c r="V53" i="29"/>
  <c r="T53" i="29"/>
  <c r="S53" i="29"/>
  <c r="Q53" i="29"/>
  <c r="P53" i="29"/>
  <c r="K53" i="29"/>
  <c r="J53" i="29"/>
  <c r="H53" i="29"/>
  <c r="G53" i="29"/>
  <c r="E53" i="29"/>
  <c r="D53" i="29"/>
  <c r="AK52" i="29"/>
  <c r="AH52" i="29"/>
  <c r="W52" i="29"/>
  <c r="T52" i="29"/>
  <c r="Q52" i="29"/>
  <c r="K52" i="29"/>
  <c r="H52" i="29"/>
  <c r="E52" i="29"/>
  <c r="AK51" i="29"/>
  <c r="AH51" i="29"/>
  <c r="W51" i="29"/>
  <c r="T51" i="29"/>
  <c r="Q51" i="29"/>
  <c r="K51" i="29"/>
  <c r="H51" i="29"/>
  <c r="E51" i="29"/>
  <c r="AK50" i="29"/>
  <c r="AK59" i="29" s="1"/>
  <c r="AK60" i="29" s="1"/>
  <c r="AH50" i="29"/>
  <c r="W50" i="29"/>
  <c r="W59" i="29" s="1"/>
  <c r="T50" i="29"/>
  <c r="Q50" i="29"/>
  <c r="Q59" i="29" s="1"/>
  <c r="K50" i="29"/>
  <c r="K59" i="29" s="1"/>
  <c r="K60" i="29" s="1"/>
  <c r="H50" i="29"/>
  <c r="H59" i="29" s="1"/>
  <c r="H60" i="29" s="1"/>
  <c r="E50" i="29"/>
  <c r="AC45" i="29"/>
  <c r="AI44" i="29"/>
  <c r="AF44" i="29"/>
  <c r="AC44" i="29"/>
  <c r="W44" i="29"/>
  <c r="T44" i="29"/>
  <c r="Q44" i="29"/>
  <c r="K44" i="29"/>
  <c r="H44" i="29"/>
  <c r="E44" i="29"/>
  <c r="AI43" i="29"/>
  <c r="AF43" i="29"/>
  <c r="AC43" i="29"/>
  <c r="W43" i="29"/>
  <c r="T43" i="29"/>
  <c r="Q43" i="29"/>
  <c r="K43" i="29"/>
  <c r="H43" i="29"/>
  <c r="E43" i="29"/>
  <c r="AI42" i="29"/>
  <c r="AF42" i="29"/>
  <c r="AC42" i="29"/>
  <c r="W42" i="29"/>
  <c r="T42" i="29"/>
  <c r="Q42" i="29"/>
  <c r="K42" i="29"/>
  <c r="H42" i="29"/>
  <c r="E42" i="29"/>
  <c r="AI41" i="29"/>
  <c r="AF41" i="29"/>
  <c r="AC41" i="29"/>
  <c r="W41" i="29"/>
  <c r="T41" i="29"/>
  <c r="Q41" i="29"/>
  <c r="K41" i="29"/>
  <c r="H41" i="29"/>
  <c r="E41" i="29"/>
  <c r="AI40" i="29"/>
  <c r="AF40" i="29"/>
  <c r="AC40" i="29"/>
  <c r="W40" i="29"/>
  <c r="T40" i="29"/>
  <c r="Q40" i="29"/>
  <c r="K40" i="29"/>
  <c r="H40" i="29"/>
  <c r="E40" i="29"/>
  <c r="AI39" i="29"/>
  <c r="AF39" i="29"/>
  <c r="AC39" i="29"/>
  <c r="W39" i="29"/>
  <c r="T39" i="29"/>
  <c r="Q39" i="29"/>
  <c r="AI38" i="29"/>
  <c r="AF38" i="29"/>
  <c r="AC38" i="29"/>
  <c r="W38" i="29"/>
  <c r="T38" i="29"/>
  <c r="Q38" i="29"/>
  <c r="K38" i="29"/>
  <c r="H38" i="29"/>
  <c r="E38" i="29"/>
  <c r="AI37" i="29"/>
  <c r="AF37" i="29"/>
  <c r="AC37" i="29"/>
  <c r="W37" i="29"/>
  <c r="T37" i="29"/>
  <c r="Q37" i="29"/>
  <c r="K37" i="29"/>
  <c r="H37" i="29"/>
  <c r="E37" i="29"/>
  <c r="AI36" i="29"/>
  <c r="AI45" i="29" s="1"/>
  <c r="AI46" i="29" s="1"/>
  <c r="AF36" i="29"/>
  <c r="AC36" i="29"/>
  <c r="W36" i="29"/>
  <c r="W45" i="29" s="1"/>
  <c r="T36" i="29"/>
  <c r="T45" i="29" s="1"/>
  <c r="Q36" i="29"/>
  <c r="K36" i="29"/>
  <c r="H36" i="29"/>
  <c r="E36" i="29"/>
  <c r="W29" i="29"/>
  <c r="T29" i="29"/>
  <c r="Q29" i="29"/>
  <c r="K29" i="29"/>
  <c r="H29" i="29"/>
  <c r="E29" i="29"/>
  <c r="W28" i="29"/>
  <c r="T28" i="29"/>
  <c r="Q28" i="29"/>
  <c r="K28" i="29"/>
  <c r="H28" i="29"/>
  <c r="E28" i="29"/>
  <c r="W27" i="29"/>
  <c r="T27" i="29"/>
  <c r="Q27" i="29"/>
  <c r="K27" i="29"/>
  <c r="H27" i="29"/>
  <c r="E27" i="29"/>
  <c r="W26" i="29"/>
  <c r="T26" i="29"/>
  <c r="Q26" i="29"/>
  <c r="K26" i="29"/>
  <c r="H26" i="29"/>
  <c r="E26" i="29"/>
  <c r="W25" i="29"/>
  <c r="T25" i="29"/>
  <c r="Q25" i="29"/>
  <c r="K25" i="29"/>
  <c r="H25" i="29"/>
  <c r="E25" i="29"/>
  <c r="J24" i="29"/>
  <c r="G24" i="29"/>
  <c r="G39" i="29" s="1"/>
  <c r="H39" i="29" s="1"/>
  <c r="W23" i="29"/>
  <c r="T23" i="29"/>
  <c r="Q23" i="29"/>
  <c r="K23" i="29"/>
  <c r="H23" i="29"/>
  <c r="E23" i="29"/>
  <c r="W22" i="29"/>
  <c r="T22" i="29"/>
  <c r="Q22" i="29"/>
  <c r="K22" i="29"/>
  <c r="H22" i="29"/>
  <c r="E22" i="29"/>
  <c r="W21" i="29"/>
  <c r="T21" i="29"/>
  <c r="Q21" i="29"/>
  <c r="K21" i="29"/>
  <c r="H21" i="29"/>
  <c r="E21" i="29"/>
  <c r="C17" i="29"/>
  <c r="K16" i="29"/>
  <c r="C16" i="29"/>
  <c r="W14" i="29"/>
  <c r="T14" i="29"/>
  <c r="Q14" i="29"/>
  <c r="K14" i="29"/>
  <c r="H14" i="29"/>
  <c r="E14" i="29"/>
  <c r="W13" i="29"/>
  <c r="T13" i="29"/>
  <c r="Q13" i="29"/>
  <c r="K13" i="29"/>
  <c r="H13" i="29"/>
  <c r="E13" i="29"/>
  <c r="W12" i="29"/>
  <c r="T12" i="29"/>
  <c r="Q12" i="29"/>
  <c r="K12" i="29"/>
  <c r="H12" i="29"/>
  <c r="E12" i="29"/>
  <c r="W11" i="29"/>
  <c r="T11" i="29"/>
  <c r="Q11" i="29"/>
  <c r="K11" i="29"/>
  <c r="H11" i="29"/>
  <c r="E11" i="29"/>
  <c r="W10" i="29"/>
  <c r="T10" i="29"/>
  <c r="Q10" i="29"/>
  <c r="K10" i="29"/>
  <c r="H10" i="29"/>
  <c r="E10" i="29"/>
  <c r="K9" i="29"/>
  <c r="H9" i="29"/>
  <c r="W8" i="29"/>
  <c r="T8" i="29"/>
  <c r="Q8" i="29"/>
  <c r="K8" i="29"/>
  <c r="H8" i="29"/>
  <c r="E8" i="29"/>
  <c r="W7" i="29"/>
  <c r="T7" i="29"/>
  <c r="Q7" i="29"/>
  <c r="K7" i="29"/>
  <c r="H7" i="29"/>
  <c r="H15" i="29" s="1"/>
  <c r="H16" i="29" s="1"/>
  <c r="E7" i="29"/>
  <c r="W6" i="29"/>
  <c r="T6" i="29"/>
  <c r="Q6" i="29"/>
  <c r="K6" i="29"/>
  <c r="K15" i="29" s="1"/>
  <c r="H6" i="29"/>
  <c r="E6" i="29"/>
  <c r="K103" i="10"/>
  <c r="K102" i="10"/>
  <c r="K101" i="10"/>
  <c r="K100" i="10"/>
  <c r="K99" i="10"/>
  <c r="K98" i="10"/>
  <c r="K97" i="10"/>
  <c r="K96" i="10"/>
  <c r="K104" i="10" s="1"/>
  <c r="K95" i="10"/>
  <c r="F82" i="10"/>
  <c r="D82" i="10"/>
  <c r="F81" i="10"/>
  <c r="D81" i="10"/>
  <c r="W73" i="10"/>
  <c r="T73" i="10"/>
  <c r="K73" i="10"/>
  <c r="H73" i="10"/>
  <c r="E73" i="10"/>
  <c r="W72" i="10"/>
  <c r="T72" i="10"/>
  <c r="K72" i="10"/>
  <c r="H72" i="10"/>
  <c r="E72" i="10"/>
  <c r="W71" i="10"/>
  <c r="T71" i="10"/>
  <c r="K71" i="10"/>
  <c r="H71" i="10"/>
  <c r="E71" i="10"/>
  <c r="W70" i="10"/>
  <c r="T70" i="10"/>
  <c r="K70" i="10"/>
  <c r="H70" i="10"/>
  <c r="E70" i="10"/>
  <c r="W69" i="10"/>
  <c r="T69" i="10"/>
  <c r="K69" i="10"/>
  <c r="H69" i="10"/>
  <c r="E69" i="10"/>
  <c r="W68" i="10"/>
  <c r="T68" i="10"/>
  <c r="K68" i="10"/>
  <c r="H68" i="10"/>
  <c r="E68" i="10"/>
  <c r="W67" i="10"/>
  <c r="T67" i="10"/>
  <c r="K67" i="10"/>
  <c r="H67" i="10"/>
  <c r="E67" i="10"/>
  <c r="W66" i="10"/>
  <c r="T66" i="10"/>
  <c r="K66" i="10"/>
  <c r="H66" i="10"/>
  <c r="H74" i="10" s="1"/>
  <c r="E66" i="10"/>
  <c r="W65" i="10"/>
  <c r="T65" i="10"/>
  <c r="K65" i="10"/>
  <c r="K74" i="10" s="1"/>
  <c r="H65" i="10"/>
  <c r="E65" i="10"/>
  <c r="Z59" i="10"/>
  <c r="I80" i="28" s="1"/>
  <c r="AF58" i="10"/>
  <c r="AC58" i="10"/>
  <c r="Z58" i="10"/>
  <c r="W58" i="10"/>
  <c r="T58" i="10"/>
  <c r="N58" i="10"/>
  <c r="K58" i="10"/>
  <c r="H58" i="10"/>
  <c r="E58" i="10"/>
  <c r="AF57" i="10"/>
  <c r="AC57" i="10"/>
  <c r="Z57" i="10"/>
  <c r="W57" i="10"/>
  <c r="T57" i="10"/>
  <c r="N57" i="10"/>
  <c r="K57" i="10"/>
  <c r="H57" i="10"/>
  <c r="E57" i="10"/>
  <c r="AF56" i="10"/>
  <c r="AC56" i="10"/>
  <c r="Z56" i="10"/>
  <c r="W56" i="10"/>
  <c r="T56" i="10"/>
  <c r="N56" i="10"/>
  <c r="K56" i="10"/>
  <c r="H56" i="10"/>
  <c r="E56" i="10"/>
  <c r="AF55" i="10"/>
  <c r="AC55" i="10"/>
  <c r="Z55" i="10"/>
  <c r="W55" i="10"/>
  <c r="T55" i="10"/>
  <c r="N55" i="10"/>
  <c r="K55" i="10"/>
  <c r="H55" i="10"/>
  <c r="E55" i="10"/>
  <c r="AF54" i="10"/>
  <c r="AC54" i="10"/>
  <c r="Z54" i="10"/>
  <c r="W54" i="10"/>
  <c r="T54" i="10"/>
  <c r="N54" i="10"/>
  <c r="K54" i="10"/>
  <c r="H54" i="10"/>
  <c r="E54" i="10"/>
  <c r="AF53" i="10"/>
  <c r="AC53" i="10"/>
  <c r="Z53" i="10"/>
  <c r="W53" i="10"/>
  <c r="T53" i="10"/>
  <c r="N53" i="10"/>
  <c r="K53" i="10"/>
  <c r="H53" i="10"/>
  <c r="E53" i="10"/>
  <c r="AF52" i="10"/>
  <c r="AC52" i="10"/>
  <c r="Z52" i="10"/>
  <c r="W52" i="10"/>
  <c r="T52" i="10"/>
  <c r="N52" i="10"/>
  <c r="K52" i="10"/>
  <c r="H52" i="10"/>
  <c r="E52" i="10"/>
  <c r="AF51" i="10"/>
  <c r="AC51" i="10"/>
  <c r="Z51" i="10"/>
  <c r="W51" i="10"/>
  <c r="T51" i="10"/>
  <c r="N51" i="10"/>
  <c r="K51" i="10"/>
  <c r="K59" i="10" s="1"/>
  <c r="H51" i="10"/>
  <c r="E51" i="10"/>
  <c r="AF50" i="10"/>
  <c r="AC50" i="10"/>
  <c r="AC59" i="10" s="1"/>
  <c r="Z50" i="10"/>
  <c r="W50" i="10"/>
  <c r="T50" i="10"/>
  <c r="N50" i="10"/>
  <c r="N59" i="10" s="1"/>
  <c r="K50" i="10"/>
  <c r="H50" i="10"/>
  <c r="E50" i="10"/>
  <c r="Z45" i="10"/>
  <c r="Z44" i="10"/>
  <c r="W44" i="10"/>
  <c r="T44" i="10"/>
  <c r="K44" i="10"/>
  <c r="H44" i="10"/>
  <c r="E44" i="10"/>
  <c r="Z43" i="10"/>
  <c r="W43" i="10"/>
  <c r="T43" i="10"/>
  <c r="K43" i="10"/>
  <c r="H43" i="10"/>
  <c r="E43" i="10"/>
  <c r="Z42" i="10"/>
  <c r="W42" i="10"/>
  <c r="T42" i="10"/>
  <c r="K42" i="10"/>
  <c r="H42" i="10"/>
  <c r="E42" i="10"/>
  <c r="Z41" i="10"/>
  <c r="W41" i="10"/>
  <c r="T41" i="10"/>
  <c r="K41" i="10"/>
  <c r="H41" i="10"/>
  <c r="E41" i="10"/>
  <c r="Z40" i="10"/>
  <c r="W40" i="10"/>
  <c r="T40" i="10"/>
  <c r="K40" i="10"/>
  <c r="H40" i="10"/>
  <c r="E40" i="10"/>
  <c r="Z39" i="10"/>
  <c r="W39" i="10"/>
  <c r="T39" i="10"/>
  <c r="K39" i="10"/>
  <c r="H39" i="10"/>
  <c r="E39" i="10"/>
  <c r="Z38" i="10"/>
  <c r="W38" i="10"/>
  <c r="T38" i="10"/>
  <c r="K38" i="10"/>
  <c r="H38" i="10"/>
  <c r="E38" i="10"/>
  <c r="Z37" i="10"/>
  <c r="W37" i="10"/>
  <c r="T37" i="10"/>
  <c r="K37" i="10"/>
  <c r="H37" i="10"/>
  <c r="E37" i="10"/>
  <c r="Z36" i="10"/>
  <c r="W36" i="10"/>
  <c r="W45" i="10" s="1"/>
  <c r="T36" i="10"/>
  <c r="T45" i="10" s="1"/>
  <c r="K36" i="10"/>
  <c r="K45" i="10" s="1"/>
  <c r="H36" i="10"/>
  <c r="H45" i="10" s="1"/>
  <c r="E36" i="10"/>
  <c r="E45" i="10" s="1"/>
  <c r="K46" i="10" s="1"/>
  <c r="D80" i="10" s="1"/>
  <c r="N30" i="10"/>
  <c r="AC29" i="10"/>
  <c r="Z29" i="10"/>
  <c r="W29" i="10"/>
  <c r="T29" i="10"/>
  <c r="N29" i="10"/>
  <c r="K29" i="10"/>
  <c r="H29" i="10"/>
  <c r="E29" i="10"/>
  <c r="AC28" i="10"/>
  <c r="Z28" i="10"/>
  <c r="W28" i="10"/>
  <c r="T28" i="10"/>
  <c r="N28" i="10"/>
  <c r="K28" i="10"/>
  <c r="H28" i="10"/>
  <c r="E28" i="10"/>
  <c r="AC27" i="10"/>
  <c r="Z27" i="10"/>
  <c r="W27" i="10"/>
  <c r="T27" i="10"/>
  <c r="N27" i="10"/>
  <c r="K27" i="10"/>
  <c r="H27" i="10"/>
  <c r="E27" i="10"/>
  <c r="AC26" i="10"/>
  <c r="Z26" i="10"/>
  <c r="W26" i="10"/>
  <c r="T26" i="10"/>
  <c r="N26" i="10"/>
  <c r="K26" i="10"/>
  <c r="H26" i="10"/>
  <c r="E26" i="10"/>
  <c r="AC25" i="10"/>
  <c r="Z25" i="10"/>
  <c r="W25" i="10"/>
  <c r="T25" i="10"/>
  <c r="N25" i="10"/>
  <c r="K25" i="10"/>
  <c r="H25" i="10"/>
  <c r="E25" i="10"/>
  <c r="AC24" i="10"/>
  <c r="Z24" i="10"/>
  <c r="W24" i="10"/>
  <c r="T24" i="10"/>
  <c r="N24" i="10"/>
  <c r="K24" i="10"/>
  <c r="H24" i="10"/>
  <c r="E24" i="10"/>
  <c r="AC23" i="10"/>
  <c r="Z23" i="10"/>
  <c r="W23" i="10"/>
  <c r="T23" i="10"/>
  <c r="N23" i="10"/>
  <c r="K23" i="10"/>
  <c r="H23" i="10"/>
  <c r="E23" i="10"/>
  <c r="AC22" i="10"/>
  <c r="Z22" i="10"/>
  <c r="W22" i="10"/>
  <c r="T22" i="10"/>
  <c r="N22" i="10"/>
  <c r="K22" i="10"/>
  <c r="H22" i="10"/>
  <c r="E22" i="10"/>
  <c r="AC21" i="10"/>
  <c r="AC30" i="10" s="1"/>
  <c r="Z21" i="10"/>
  <c r="Z30" i="10" s="1"/>
  <c r="W21" i="10"/>
  <c r="W30" i="10" s="1"/>
  <c r="T21" i="10"/>
  <c r="T30" i="10" s="1"/>
  <c r="N21" i="10"/>
  <c r="K21" i="10"/>
  <c r="K30" i="10" s="1"/>
  <c r="H21" i="10"/>
  <c r="H30" i="10" s="1"/>
  <c r="E21" i="10"/>
  <c r="E30" i="10" s="1"/>
  <c r="N15" i="10"/>
  <c r="K15" i="10"/>
  <c r="H15" i="10"/>
  <c r="E15" i="10"/>
  <c r="Z14" i="10"/>
  <c r="W14" i="10"/>
  <c r="T14" i="10"/>
  <c r="N14" i="10"/>
  <c r="K14" i="10"/>
  <c r="H14" i="10"/>
  <c r="E14" i="10"/>
  <c r="Z13" i="10"/>
  <c r="W13" i="10"/>
  <c r="T13" i="10"/>
  <c r="N13" i="10"/>
  <c r="K13" i="10"/>
  <c r="H13" i="10"/>
  <c r="E13" i="10"/>
  <c r="Z12" i="10"/>
  <c r="W12" i="10"/>
  <c r="T12" i="10"/>
  <c r="N12" i="10"/>
  <c r="K12" i="10"/>
  <c r="H12" i="10"/>
  <c r="E12" i="10"/>
  <c r="Z11" i="10"/>
  <c r="W11" i="10"/>
  <c r="T11" i="10"/>
  <c r="N11" i="10"/>
  <c r="K11" i="10"/>
  <c r="H11" i="10"/>
  <c r="E11" i="10"/>
  <c r="Z10" i="10"/>
  <c r="W10" i="10"/>
  <c r="T10" i="10"/>
  <c r="N10" i="10"/>
  <c r="K10" i="10"/>
  <c r="H10" i="10"/>
  <c r="E10" i="10"/>
  <c r="Z9" i="10"/>
  <c r="W9" i="10"/>
  <c r="T9" i="10"/>
  <c r="N9" i="10"/>
  <c r="K9" i="10"/>
  <c r="H9" i="10"/>
  <c r="E9" i="10"/>
  <c r="Z8" i="10"/>
  <c r="W8" i="10"/>
  <c r="T8" i="10"/>
  <c r="N8" i="10"/>
  <c r="K8" i="10"/>
  <c r="K16" i="10" s="1"/>
  <c r="C79" i="10" s="1"/>
  <c r="H8" i="10"/>
  <c r="E8" i="10"/>
  <c r="Z7" i="10"/>
  <c r="W7" i="10"/>
  <c r="W15" i="10" s="1"/>
  <c r="T7" i="10"/>
  <c r="N7" i="10"/>
  <c r="K7" i="10"/>
  <c r="H7" i="10"/>
  <c r="E7" i="10"/>
  <c r="Z6" i="10"/>
  <c r="W6" i="10"/>
  <c r="T6" i="10"/>
  <c r="T15" i="10" s="1"/>
  <c r="N6" i="10"/>
  <c r="K6" i="10"/>
  <c r="H6" i="10"/>
  <c r="E6" i="10"/>
  <c r="E16" i="10" s="1"/>
  <c r="W99" i="18"/>
  <c r="T99" i="18"/>
  <c r="Q99" i="18"/>
  <c r="K99" i="18"/>
  <c r="H99" i="18"/>
  <c r="E99" i="18"/>
  <c r="W98" i="18"/>
  <c r="T98" i="18"/>
  <c r="Q98" i="18"/>
  <c r="K98" i="18"/>
  <c r="H98" i="18"/>
  <c r="E98" i="18"/>
  <c r="W97" i="18"/>
  <c r="T97" i="18"/>
  <c r="Q97" i="18"/>
  <c r="K97" i="18"/>
  <c r="H97" i="18"/>
  <c r="E97" i="18"/>
  <c r="W96" i="18"/>
  <c r="T96" i="18"/>
  <c r="Q96" i="18"/>
  <c r="K96" i="18"/>
  <c r="H96" i="18"/>
  <c r="E96" i="18"/>
  <c r="W95" i="18"/>
  <c r="T95" i="18"/>
  <c r="Q95" i="18"/>
  <c r="K95" i="18"/>
  <c r="H95" i="18"/>
  <c r="E95" i="18"/>
  <c r="W94" i="18"/>
  <c r="T94" i="18"/>
  <c r="Q94" i="18"/>
  <c r="K94" i="18"/>
  <c r="H94" i="18"/>
  <c r="E94" i="18"/>
  <c r="W93" i="18"/>
  <c r="T93" i="18"/>
  <c r="Q93" i="18"/>
  <c r="K93" i="18"/>
  <c r="H93" i="18"/>
  <c r="E93" i="18"/>
  <c r="W92" i="18"/>
  <c r="T92" i="18"/>
  <c r="Q92" i="18"/>
  <c r="K92" i="18"/>
  <c r="H92" i="18"/>
  <c r="E92" i="18"/>
  <c r="W91" i="18"/>
  <c r="W100" i="18" s="1"/>
  <c r="T91" i="18"/>
  <c r="T100" i="18" s="1"/>
  <c r="Q91" i="18"/>
  <c r="Q100" i="18" s="1"/>
  <c r="K91" i="18"/>
  <c r="H91" i="18"/>
  <c r="H100" i="18" s="1"/>
  <c r="E91" i="18"/>
  <c r="E100" i="18" s="1"/>
  <c r="W84" i="18"/>
  <c r="T84" i="18"/>
  <c r="Q84" i="18"/>
  <c r="K84" i="18"/>
  <c r="H84" i="18"/>
  <c r="E84" i="18"/>
  <c r="W83" i="18"/>
  <c r="T83" i="18"/>
  <c r="Q83" i="18"/>
  <c r="K83" i="18"/>
  <c r="H83" i="18"/>
  <c r="E83" i="18"/>
  <c r="W82" i="18"/>
  <c r="T82" i="18"/>
  <c r="Q82" i="18"/>
  <c r="K82" i="18"/>
  <c r="H82" i="18"/>
  <c r="E82" i="18"/>
  <c r="W81" i="18"/>
  <c r="T81" i="18"/>
  <c r="Q81" i="18"/>
  <c r="K81" i="18"/>
  <c r="H81" i="18"/>
  <c r="E81" i="18"/>
  <c r="W80" i="18"/>
  <c r="T80" i="18"/>
  <c r="Q80" i="18"/>
  <c r="K80" i="18"/>
  <c r="H80" i="18"/>
  <c r="E80" i="18"/>
  <c r="W79" i="18"/>
  <c r="T79" i="18"/>
  <c r="Q79" i="18"/>
  <c r="K79" i="18"/>
  <c r="H79" i="18"/>
  <c r="E79" i="18"/>
  <c r="W78" i="18"/>
  <c r="T78" i="18"/>
  <c r="Q78" i="18"/>
  <c r="K78" i="18"/>
  <c r="H78" i="18"/>
  <c r="E78" i="18"/>
  <c r="W77" i="18"/>
  <c r="T77" i="18"/>
  <c r="Q77" i="18"/>
  <c r="K77" i="18"/>
  <c r="H77" i="18"/>
  <c r="E77" i="18"/>
  <c r="E85" i="18" s="1"/>
  <c r="K86" i="18" s="1"/>
  <c r="D110" i="18" s="1"/>
  <c r="W76" i="18"/>
  <c r="W85" i="18" s="1"/>
  <c r="T76" i="18"/>
  <c r="T85" i="18" s="1"/>
  <c r="Q76" i="18"/>
  <c r="Q85" i="18" s="1"/>
  <c r="K76" i="18"/>
  <c r="K85" i="18" s="1"/>
  <c r="H76" i="18"/>
  <c r="H85" i="18" s="1"/>
  <c r="E76" i="18"/>
  <c r="W70" i="18"/>
  <c r="T70" i="18"/>
  <c r="Q70" i="18"/>
  <c r="K70" i="18"/>
  <c r="H70" i="18"/>
  <c r="E70" i="18"/>
  <c r="W69" i="18"/>
  <c r="T69" i="18"/>
  <c r="Q69" i="18"/>
  <c r="K69" i="18"/>
  <c r="H69" i="18"/>
  <c r="E69" i="18"/>
  <c r="W68" i="18"/>
  <c r="T68" i="18"/>
  <c r="Q68" i="18"/>
  <c r="K68" i="18"/>
  <c r="H68" i="18"/>
  <c r="E68" i="18"/>
  <c r="W67" i="18"/>
  <c r="T67" i="18"/>
  <c r="Q67" i="18"/>
  <c r="K67" i="18"/>
  <c r="H67" i="18"/>
  <c r="E67" i="18"/>
  <c r="W66" i="18"/>
  <c r="T66" i="18"/>
  <c r="Q66" i="18"/>
  <c r="K66" i="18"/>
  <c r="H66" i="18"/>
  <c r="E66" i="18"/>
  <c r="W65" i="18"/>
  <c r="T65" i="18"/>
  <c r="Q65" i="18"/>
  <c r="K65" i="18"/>
  <c r="H65" i="18"/>
  <c r="E65" i="18"/>
  <c r="W64" i="18"/>
  <c r="T64" i="18"/>
  <c r="Q64" i="18"/>
  <c r="K64" i="18"/>
  <c r="H64" i="18"/>
  <c r="E64" i="18"/>
  <c r="W63" i="18"/>
  <c r="T63" i="18"/>
  <c r="Q63" i="18"/>
  <c r="K63" i="18"/>
  <c r="H63" i="18"/>
  <c r="E63" i="18"/>
  <c r="W62" i="18"/>
  <c r="W71" i="18" s="1"/>
  <c r="T62" i="18"/>
  <c r="T71" i="18" s="1"/>
  <c r="Q62" i="18"/>
  <c r="Q71" i="18" s="1"/>
  <c r="K62" i="18"/>
  <c r="H62" i="18"/>
  <c r="H71" i="18" s="1"/>
  <c r="E62" i="18"/>
  <c r="E71" i="18" s="1"/>
  <c r="W56" i="18"/>
  <c r="T56" i="18"/>
  <c r="Q56" i="18"/>
  <c r="K56" i="18"/>
  <c r="H56" i="18"/>
  <c r="E56" i="18"/>
  <c r="W55" i="18"/>
  <c r="T55" i="18"/>
  <c r="Q55" i="18"/>
  <c r="K55" i="18"/>
  <c r="H55" i="18"/>
  <c r="E55" i="18"/>
  <c r="W54" i="18"/>
  <c r="T54" i="18"/>
  <c r="Q54" i="18"/>
  <c r="K54" i="18"/>
  <c r="H54" i="18"/>
  <c r="E54" i="18"/>
  <c r="W53" i="18"/>
  <c r="T53" i="18"/>
  <c r="Q53" i="18"/>
  <c r="K53" i="18"/>
  <c r="H53" i="18"/>
  <c r="E53" i="18"/>
  <c r="W52" i="18"/>
  <c r="T52" i="18"/>
  <c r="Q52" i="18"/>
  <c r="K52" i="18"/>
  <c r="H52" i="18"/>
  <c r="E52" i="18"/>
  <c r="W51" i="18"/>
  <c r="T51" i="18"/>
  <c r="Q51" i="18"/>
  <c r="K51" i="18"/>
  <c r="H51" i="18"/>
  <c r="E51" i="18"/>
  <c r="W50" i="18"/>
  <c r="T50" i="18"/>
  <c r="Q50" i="18"/>
  <c r="K50" i="18"/>
  <c r="H50" i="18"/>
  <c r="E50" i="18"/>
  <c r="W49" i="18"/>
  <c r="T49" i="18"/>
  <c r="Q49" i="18"/>
  <c r="K49" i="18"/>
  <c r="H49" i="18"/>
  <c r="E49" i="18"/>
  <c r="E57" i="18" s="1"/>
  <c r="W48" i="18"/>
  <c r="W57" i="18" s="1"/>
  <c r="T48" i="18"/>
  <c r="T57" i="18" s="1"/>
  <c r="Q48" i="18"/>
  <c r="Q57" i="18" s="1"/>
  <c r="K48" i="18"/>
  <c r="K57" i="18" s="1"/>
  <c r="H48" i="18"/>
  <c r="H57" i="18" s="1"/>
  <c r="E48" i="18"/>
  <c r="W42" i="18"/>
  <c r="T42" i="18"/>
  <c r="Q42" i="18"/>
  <c r="K42" i="18"/>
  <c r="H42" i="18"/>
  <c r="E42" i="18"/>
  <c r="W41" i="18"/>
  <c r="T41" i="18"/>
  <c r="Q41" i="18"/>
  <c r="K41" i="18"/>
  <c r="H41" i="18"/>
  <c r="E41" i="18"/>
  <c r="W40" i="18"/>
  <c r="T40" i="18"/>
  <c r="Q40" i="18"/>
  <c r="K40" i="18"/>
  <c r="H40" i="18"/>
  <c r="E40" i="18"/>
  <c r="W39" i="18"/>
  <c r="T39" i="18"/>
  <c r="Q39" i="18"/>
  <c r="K39" i="18"/>
  <c r="H39" i="18"/>
  <c r="E39" i="18"/>
  <c r="W38" i="18"/>
  <c r="T38" i="18"/>
  <c r="Q38" i="18"/>
  <c r="K38" i="18"/>
  <c r="H38" i="18"/>
  <c r="E38" i="18"/>
  <c r="W37" i="18"/>
  <c r="T37" i="18"/>
  <c r="Q37" i="18"/>
  <c r="K37" i="18"/>
  <c r="H37" i="18"/>
  <c r="E37" i="18"/>
  <c r="W36" i="18"/>
  <c r="T36" i="18"/>
  <c r="Q36" i="18"/>
  <c r="K36" i="18"/>
  <c r="H36" i="18"/>
  <c r="E36" i="18"/>
  <c r="W35" i="18"/>
  <c r="T35" i="18"/>
  <c r="Q35" i="18"/>
  <c r="K35" i="18"/>
  <c r="H35" i="18"/>
  <c r="E35" i="18"/>
  <c r="W34" i="18"/>
  <c r="W43" i="18" s="1"/>
  <c r="T34" i="18"/>
  <c r="T43" i="18" s="1"/>
  <c r="Q34" i="18"/>
  <c r="Q43" i="18" s="1"/>
  <c r="K34" i="18"/>
  <c r="H34" i="18"/>
  <c r="H43" i="18" s="1"/>
  <c r="E34" i="18"/>
  <c r="E43" i="18" s="1"/>
  <c r="Q28" i="18"/>
  <c r="W27" i="18"/>
  <c r="T27" i="18"/>
  <c r="Q27" i="18"/>
  <c r="K27" i="18"/>
  <c r="H27" i="18"/>
  <c r="E27" i="18"/>
  <c r="W26" i="18"/>
  <c r="T26" i="18"/>
  <c r="Q26" i="18"/>
  <c r="K26" i="18"/>
  <c r="H26" i="18"/>
  <c r="E26" i="18"/>
  <c r="W25" i="18"/>
  <c r="T25" i="18"/>
  <c r="Q25" i="18"/>
  <c r="K25" i="18"/>
  <c r="H25" i="18"/>
  <c r="E25" i="18"/>
  <c r="W24" i="18"/>
  <c r="T24" i="18"/>
  <c r="Q24" i="18"/>
  <c r="K24" i="18"/>
  <c r="H24" i="18"/>
  <c r="E24" i="18"/>
  <c r="W23" i="18"/>
  <c r="T23" i="18"/>
  <c r="Q23" i="18"/>
  <c r="K23" i="18"/>
  <c r="H23" i="18"/>
  <c r="E23" i="18"/>
  <c r="W22" i="18"/>
  <c r="T22" i="18"/>
  <c r="Q22" i="18"/>
  <c r="K22" i="18"/>
  <c r="H22" i="18"/>
  <c r="E22" i="18"/>
  <c r="W21" i="18"/>
  <c r="T21" i="18"/>
  <c r="Q21" i="18"/>
  <c r="K21" i="18"/>
  <c r="H21" i="18"/>
  <c r="E21" i="18"/>
  <c r="W20" i="18"/>
  <c r="T20" i="18"/>
  <c r="Q20" i="18"/>
  <c r="K20" i="18"/>
  <c r="K28" i="18" s="1"/>
  <c r="H20" i="18"/>
  <c r="E20" i="18"/>
  <c r="W19" i="18"/>
  <c r="W28" i="18" s="1"/>
  <c r="T19" i="18"/>
  <c r="T28" i="18" s="1"/>
  <c r="Q19" i="18"/>
  <c r="K19" i="18"/>
  <c r="H19" i="18"/>
  <c r="H28" i="18" s="1"/>
  <c r="E19" i="18"/>
  <c r="E28" i="18" s="1"/>
  <c r="K29" i="18" s="1"/>
  <c r="D106" i="18" s="1"/>
  <c r="W14" i="18"/>
  <c r="W13" i="18"/>
  <c r="T13" i="18"/>
  <c r="Q13" i="18"/>
  <c r="K13" i="18"/>
  <c r="H13" i="18"/>
  <c r="E13" i="18"/>
  <c r="W12" i="18"/>
  <c r="T12" i="18"/>
  <c r="Q12" i="18"/>
  <c r="K12" i="18"/>
  <c r="H12" i="18"/>
  <c r="E12" i="18"/>
  <c r="W11" i="18"/>
  <c r="T11" i="18"/>
  <c r="Q11" i="18"/>
  <c r="K11" i="18"/>
  <c r="H11" i="18"/>
  <c r="E11" i="18"/>
  <c r="W10" i="18"/>
  <c r="T10" i="18"/>
  <c r="Q10" i="18"/>
  <c r="K10" i="18"/>
  <c r="H10" i="18"/>
  <c r="E10" i="18"/>
  <c r="W9" i="18"/>
  <c r="T9" i="18"/>
  <c r="Q9" i="18"/>
  <c r="K9" i="18"/>
  <c r="H9" i="18"/>
  <c r="E9" i="18"/>
  <c r="W8" i="18"/>
  <c r="T8" i="18"/>
  <c r="Q8" i="18"/>
  <c r="K8" i="18"/>
  <c r="H8" i="18"/>
  <c r="E8" i="18"/>
  <c r="W7" i="18"/>
  <c r="T7" i="18"/>
  <c r="Q7" i="18"/>
  <c r="K7" i="18"/>
  <c r="H7" i="18"/>
  <c r="E7" i="18"/>
  <c r="W6" i="18"/>
  <c r="T6" i="18"/>
  <c r="T14" i="18" s="1"/>
  <c r="Q6" i="18"/>
  <c r="K6" i="18"/>
  <c r="H6" i="18"/>
  <c r="H14" i="18" s="1"/>
  <c r="E6" i="18"/>
  <c r="E14" i="18" s="1"/>
  <c r="K15" i="18" s="1"/>
  <c r="C105" i="18" s="1"/>
  <c r="W5" i="18"/>
  <c r="T5" i="18"/>
  <c r="Q5" i="18"/>
  <c r="Q14" i="18" s="1"/>
  <c r="K5" i="18"/>
  <c r="K14" i="18" s="1"/>
  <c r="H5" i="18"/>
  <c r="E5" i="18"/>
  <c r="D106" i="22"/>
  <c r="C106" i="22"/>
  <c r="C105" i="22"/>
  <c r="D105" i="22" s="1"/>
  <c r="D104" i="22"/>
  <c r="AC98" i="22"/>
  <c r="Z98" i="22"/>
  <c r="W98" i="22"/>
  <c r="T98" i="22"/>
  <c r="N98" i="22"/>
  <c r="K98" i="22"/>
  <c r="H98" i="22"/>
  <c r="E98" i="22"/>
  <c r="AC97" i="22"/>
  <c r="Z97" i="22"/>
  <c r="W97" i="22"/>
  <c r="T97" i="22"/>
  <c r="N97" i="22"/>
  <c r="K97" i="22"/>
  <c r="H97" i="22"/>
  <c r="E97" i="22"/>
  <c r="AC96" i="22"/>
  <c r="Z96" i="22"/>
  <c r="W96" i="22"/>
  <c r="T96" i="22"/>
  <c r="N96" i="22"/>
  <c r="K96" i="22"/>
  <c r="H96" i="22"/>
  <c r="E96" i="22"/>
  <c r="AC95" i="22"/>
  <c r="Z95" i="22"/>
  <c r="W95" i="22"/>
  <c r="T95" i="22"/>
  <c r="N95" i="22"/>
  <c r="K95" i="22"/>
  <c r="H95" i="22"/>
  <c r="E95" i="22"/>
  <c r="AC94" i="22"/>
  <c r="Z94" i="22"/>
  <c r="W94" i="22"/>
  <c r="T94" i="22"/>
  <c r="N94" i="22"/>
  <c r="K94" i="22"/>
  <c r="H94" i="22"/>
  <c r="E94" i="22"/>
  <c r="E99" i="22" s="1"/>
  <c r="AC93" i="22"/>
  <c r="S93" i="22"/>
  <c r="T93" i="22" s="1"/>
  <c r="T99" i="22" s="1"/>
  <c r="N93" i="22"/>
  <c r="G93" i="22"/>
  <c r="E93" i="22"/>
  <c r="AC92" i="22"/>
  <c r="Z92" i="22"/>
  <c r="W92" i="22"/>
  <c r="T92" i="22"/>
  <c r="N92" i="22"/>
  <c r="K92" i="22"/>
  <c r="H92" i="22"/>
  <c r="E92" i="22"/>
  <c r="AC91" i="22"/>
  <c r="Z91" i="22"/>
  <c r="W91" i="22"/>
  <c r="T91" i="22"/>
  <c r="N91" i="22"/>
  <c r="K91" i="22"/>
  <c r="H91" i="22"/>
  <c r="E91" i="22"/>
  <c r="AC90" i="22"/>
  <c r="AC99" i="22" s="1"/>
  <c r="Z90" i="22"/>
  <c r="W90" i="22"/>
  <c r="T90" i="22"/>
  <c r="N90" i="22"/>
  <c r="N99" i="22" s="1"/>
  <c r="K90" i="22"/>
  <c r="H90" i="22"/>
  <c r="E90" i="22"/>
  <c r="C86" i="22"/>
  <c r="E86" i="22" s="1"/>
  <c r="E85" i="22"/>
  <c r="G72" i="22" s="1"/>
  <c r="V72" i="22" s="1"/>
  <c r="W72" i="22" s="1"/>
  <c r="C85" i="22"/>
  <c r="E84" i="22"/>
  <c r="AC77" i="22"/>
  <c r="Z77" i="22"/>
  <c r="W77" i="22"/>
  <c r="T77" i="22"/>
  <c r="N77" i="22"/>
  <c r="K77" i="22"/>
  <c r="H77" i="22"/>
  <c r="E77" i="22"/>
  <c r="AC76" i="22"/>
  <c r="Z76" i="22"/>
  <c r="W76" i="22"/>
  <c r="T76" i="22"/>
  <c r="N76" i="22"/>
  <c r="K76" i="22"/>
  <c r="H76" i="22"/>
  <c r="E76" i="22"/>
  <c r="AC75" i="22"/>
  <c r="Z75" i="22"/>
  <c r="W75" i="22"/>
  <c r="T75" i="22"/>
  <c r="N75" i="22"/>
  <c r="K75" i="22"/>
  <c r="H75" i="22"/>
  <c r="E75" i="22"/>
  <c r="AC74" i="22"/>
  <c r="Z74" i="22"/>
  <c r="W74" i="22"/>
  <c r="T74" i="22"/>
  <c r="N74" i="22"/>
  <c r="K74" i="22"/>
  <c r="H74" i="22"/>
  <c r="E74" i="22"/>
  <c r="AC73" i="22"/>
  <c r="Z73" i="22"/>
  <c r="W73" i="22"/>
  <c r="W78" i="22" s="1"/>
  <c r="T73" i="22"/>
  <c r="N73" i="22"/>
  <c r="K73" i="22"/>
  <c r="H73" i="22"/>
  <c r="E73" i="22"/>
  <c r="AC72" i="22"/>
  <c r="N72" i="22"/>
  <c r="J72" i="22"/>
  <c r="H72" i="22"/>
  <c r="H78" i="22" s="1"/>
  <c r="D72" i="22"/>
  <c r="E72" i="22" s="1"/>
  <c r="AC71" i="22"/>
  <c r="Z71" i="22"/>
  <c r="W71" i="22"/>
  <c r="T71" i="22"/>
  <c r="N71" i="22"/>
  <c r="K71" i="22"/>
  <c r="H71" i="22"/>
  <c r="E71" i="22"/>
  <c r="AC70" i="22"/>
  <c r="Z70" i="22"/>
  <c r="W70" i="22"/>
  <c r="T70" i="22"/>
  <c r="N70" i="22"/>
  <c r="K70" i="22"/>
  <c r="H70" i="22"/>
  <c r="E70" i="22"/>
  <c r="AC69" i="22"/>
  <c r="AC78" i="22" s="1"/>
  <c r="Z69" i="22"/>
  <c r="W69" i="22"/>
  <c r="T69" i="22"/>
  <c r="N69" i="22"/>
  <c r="N78" i="22" s="1"/>
  <c r="K69" i="22"/>
  <c r="H69" i="22"/>
  <c r="E69" i="22"/>
  <c r="E78" i="22" s="1"/>
  <c r="T62" i="22"/>
  <c r="AC61" i="22"/>
  <c r="Z61" i="22"/>
  <c r="W61" i="22"/>
  <c r="T61" i="22"/>
  <c r="N61" i="22"/>
  <c r="K61" i="22"/>
  <c r="H61" i="22"/>
  <c r="E61" i="22"/>
  <c r="AC60" i="22"/>
  <c r="Z60" i="22"/>
  <c r="W60" i="22"/>
  <c r="T60" i="22"/>
  <c r="N60" i="22"/>
  <c r="K60" i="22"/>
  <c r="H60" i="22"/>
  <c r="E60" i="22"/>
  <c r="AC59" i="22"/>
  <c r="Z59" i="22"/>
  <c r="W59" i="22"/>
  <c r="T59" i="22"/>
  <c r="N59" i="22"/>
  <c r="K59" i="22"/>
  <c r="H59" i="22"/>
  <c r="E59" i="22"/>
  <c r="AC58" i="22"/>
  <c r="Z58" i="22"/>
  <c r="W58" i="22"/>
  <c r="T58" i="22"/>
  <c r="N58" i="22"/>
  <c r="K58" i="22"/>
  <c r="H58" i="22"/>
  <c r="E58" i="22"/>
  <c r="AC57" i="22"/>
  <c r="Z57" i="22"/>
  <c r="W57" i="22"/>
  <c r="T57" i="22"/>
  <c r="N57" i="22"/>
  <c r="K57" i="22"/>
  <c r="H57" i="22"/>
  <c r="E57" i="22"/>
  <c r="E62" i="22" s="1"/>
  <c r="AC56" i="22"/>
  <c r="S56" i="22"/>
  <c r="T56" i="22" s="1"/>
  <c r="N56" i="22"/>
  <c r="H56" i="22"/>
  <c r="G56" i="22"/>
  <c r="V56" i="22" s="1"/>
  <c r="W56" i="22" s="1"/>
  <c r="E56" i="22"/>
  <c r="AC55" i="22"/>
  <c r="Z55" i="22"/>
  <c r="W55" i="22"/>
  <c r="T55" i="22"/>
  <c r="N55" i="22"/>
  <c r="K55" i="22"/>
  <c r="H55" i="22"/>
  <c r="E55" i="22"/>
  <c r="AC54" i="22"/>
  <c r="Z54" i="22"/>
  <c r="W54" i="22"/>
  <c r="T54" i="22"/>
  <c r="N54" i="22"/>
  <c r="K54" i="22"/>
  <c r="H54" i="22"/>
  <c r="E54" i="22"/>
  <c r="AC53" i="22"/>
  <c r="AC62" i="22" s="1"/>
  <c r="Z53" i="22"/>
  <c r="W53" i="22"/>
  <c r="W62" i="22" s="1"/>
  <c r="T53" i="22"/>
  <c r="N53" i="22"/>
  <c r="N62" i="22" s="1"/>
  <c r="K53" i="22"/>
  <c r="H53" i="22"/>
  <c r="E53" i="22"/>
  <c r="N47" i="22"/>
  <c r="AC46" i="22"/>
  <c r="Z46" i="22"/>
  <c r="W46" i="22"/>
  <c r="T46" i="22"/>
  <c r="N46" i="22"/>
  <c r="K46" i="22"/>
  <c r="H46" i="22"/>
  <c r="E46" i="22"/>
  <c r="AC45" i="22"/>
  <c r="Z45" i="22"/>
  <c r="W45" i="22"/>
  <c r="T45" i="22"/>
  <c r="N45" i="22"/>
  <c r="K45" i="22"/>
  <c r="H45" i="22"/>
  <c r="E45" i="22"/>
  <c r="AC44" i="22"/>
  <c r="Z44" i="22"/>
  <c r="W44" i="22"/>
  <c r="T44" i="22"/>
  <c r="N44" i="22"/>
  <c r="K44" i="22"/>
  <c r="H44" i="22"/>
  <c r="E44" i="22"/>
  <c r="AC43" i="22"/>
  <c r="Z43" i="22"/>
  <c r="W43" i="22"/>
  <c r="T43" i="22"/>
  <c r="N43" i="22"/>
  <c r="K43" i="22"/>
  <c r="H43" i="22"/>
  <c r="E43" i="22"/>
  <c r="AC42" i="22"/>
  <c r="Z42" i="22"/>
  <c r="W42" i="22"/>
  <c r="T42" i="22"/>
  <c r="N42" i="22"/>
  <c r="K42" i="22"/>
  <c r="H42" i="22"/>
  <c r="E42" i="22"/>
  <c r="AC41" i="22"/>
  <c r="Z41" i="22"/>
  <c r="W41" i="22"/>
  <c r="T41" i="22"/>
  <c r="N41" i="22"/>
  <c r="K41" i="22"/>
  <c r="H41" i="22"/>
  <c r="E41" i="22"/>
  <c r="AC40" i="22"/>
  <c r="Z40" i="22"/>
  <c r="W40" i="22"/>
  <c r="T40" i="22"/>
  <c r="N40" i="22"/>
  <c r="K40" i="22"/>
  <c r="H40" i="22"/>
  <c r="E40" i="22"/>
  <c r="AC39" i="22"/>
  <c r="Z39" i="22"/>
  <c r="W39" i="22"/>
  <c r="T39" i="22"/>
  <c r="N39" i="22"/>
  <c r="K39" i="22"/>
  <c r="H39" i="22"/>
  <c r="E39" i="22"/>
  <c r="AC38" i="22"/>
  <c r="AC47" i="22" s="1"/>
  <c r="Z38" i="22"/>
  <c r="Z47" i="22" s="1"/>
  <c r="W38" i="22"/>
  <c r="W47" i="22" s="1"/>
  <c r="T38" i="22"/>
  <c r="T47" i="22" s="1"/>
  <c r="AC48" i="22" s="1"/>
  <c r="N38" i="22"/>
  <c r="K38" i="22"/>
  <c r="K47" i="22" s="1"/>
  <c r="K48" i="22" s="1"/>
  <c r="H38" i="22"/>
  <c r="H47" i="22" s="1"/>
  <c r="H48" i="22" s="1"/>
  <c r="E38" i="22"/>
  <c r="E47" i="22" s="1"/>
  <c r="C34" i="22"/>
  <c r="Z31" i="22"/>
  <c r="W31" i="22"/>
  <c r="T31" i="22"/>
  <c r="N31" i="22"/>
  <c r="K31" i="22"/>
  <c r="H31" i="22"/>
  <c r="E31" i="22"/>
  <c r="E30" i="22"/>
  <c r="Z29" i="22"/>
  <c r="W29" i="22"/>
  <c r="T29" i="22"/>
  <c r="N29" i="22"/>
  <c r="K29" i="22"/>
  <c r="H29" i="22"/>
  <c r="E29" i="22"/>
  <c r="Z28" i="22"/>
  <c r="W28" i="22"/>
  <c r="T28" i="22"/>
  <c r="N28" i="22"/>
  <c r="K28" i="22"/>
  <c r="H28" i="22"/>
  <c r="E28" i="22"/>
  <c r="Z27" i="22"/>
  <c r="W27" i="22"/>
  <c r="T27" i="22"/>
  <c r="N27" i="22"/>
  <c r="K27" i="22"/>
  <c r="H27" i="22"/>
  <c r="E27" i="22"/>
  <c r="Z26" i="22"/>
  <c r="W26" i="22"/>
  <c r="T26" i="22"/>
  <c r="O26" i="22"/>
  <c r="N26" i="22"/>
  <c r="O27" i="22" s="1"/>
  <c r="K26" i="22"/>
  <c r="H26" i="22"/>
  <c r="E26" i="22"/>
  <c r="Z25" i="22"/>
  <c r="W25" i="22"/>
  <c r="T25" i="22"/>
  <c r="N25" i="22"/>
  <c r="K25" i="22"/>
  <c r="H25" i="22"/>
  <c r="E25" i="22"/>
  <c r="Z24" i="22"/>
  <c r="W24" i="22"/>
  <c r="T24" i="22"/>
  <c r="N24" i="22"/>
  <c r="K24" i="22"/>
  <c r="H24" i="22"/>
  <c r="E24" i="22"/>
  <c r="Z23" i="22"/>
  <c r="W23" i="22"/>
  <c r="T23" i="22"/>
  <c r="N23" i="22"/>
  <c r="K23" i="22"/>
  <c r="H23" i="22"/>
  <c r="E23" i="22"/>
  <c r="Z22" i="22"/>
  <c r="W22" i="22"/>
  <c r="W32" i="22" s="1"/>
  <c r="T22" i="22"/>
  <c r="N22" i="22"/>
  <c r="K22" i="22"/>
  <c r="H22" i="22"/>
  <c r="E22" i="22"/>
  <c r="Z15" i="22"/>
  <c r="W15" i="22"/>
  <c r="T15" i="22"/>
  <c r="N15" i="22"/>
  <c r="K15" i="22"/>
  <c r="H15" i="22"/>
  <c r="E15" i="22"/>
  <c r="T14" i="22"/>
  <c r="N14" i="22"/>
  <c r="K14" i="22"/>
  <c r="H14" i="22"/>
  <c r="E14" i="22"/>
  <c r="Z13" i="22"/>
  <c r="W13" i="22"/>
  <c r="T13" i="22"/>
  <c r="N13" i="22"/>
  <c r="K13" i="22"/>
  <c r="H13" i="22"/>
  <c r="E13" i="22"/>
  <c r="Z12" i="22"/>
  <c r="W12" i="22"/>
  <c r="T12" i="22"/>
  <c r="N12" i="22"/>
  <c r="K12" i="22"/>
  <c r="H12" i="22"/>
  <c r="E12" i="22"/>
  <c r="Z11" i="22"/>
  <c r="W11" i="22"/>
  <c r="T11" i="22"/>
  <c r="N11" i="22"/>
  <c r="K11" i="22"/>
  <c r="H11" i="22"/>
  <c r="E11" i="22"/>
  <c r="Z10" i="22"/>
  <c r="W10" i="22"/>
  <c r="T10" i="22"/>
  <c r="N10" i="22"/>
  <c r="K10" i="22"/>
  <c r="H10" i="22"/>
  <c r="E10" i="22"/>
  <c r="Z9" i="22"/>
  <c r="W9" i="22"/>
  <c r="T9" i="22"/>
  <c r="N9" i="22"/>
  <c r="K9" i="22"/>
  <c r="H9" i="22"/>
  <c r="E9" i="22"/>
  <c r="Z8" i="22"/>
  <c r="Z16" i="22" s="1"/>
  <c r="W8" i="22"/>
  <c r="T8" i="22"/>
  <c r="N8" i="22"/>
  <c r="K8" i="22"/>
  <c r="H8" i="22"/>
  <c r="E8" i="22"/>
  <c r="Z7" i="22"/>
  <c r="W7" i="22"/>
  <c r="T7" i="22"/>
  <c r="N7" i="22"/>
  <c r="K7" i="22"/>
  <c r="H7" i="22"/>
  <c r="E7" i="22"/>
  <c r="Z6" i="22"/>
  <c r="W6" i="22"/>
  <c r="T6" i="22"/>
  <c r="T16" i="22" s="1"/>
  <c r="T17" i="22" s="1"/>
  <c r="N6" i="22"/>
  <c r="K6" i="22"/>
  <c r="H6" i="22"/>
  <c r="E6" i="22"/>
  <c r="E16" i="22" s="1"/>
  <c r="Q75" i="7"/>
  <c r="H75" i="7"/>
  <c r="W74" i="7"/>
  <c r="T74" i="7"/>
  <c r="Q74" i="7"/>
  <c r="K74" i="7"/>
  <c r="H74" i="7"/>
  <c r="E74" i="7"/>
  <c r="W73" i="7"/>
  <c r="T73" i="7"/>
  <c r="Q73" i="7"/>
  <c r="K73" i="7"/>
  <c r="H73" i="7"/>
  <c r="E73" i="7"/>
  <c r="W72" i="7"/>
  <c r="T72" i="7"/>
  <c r="Q72" i="7"/>
  <c r="K72" i="7"/>
  <c r="H72" i="7"/>
  <c r="E72" i="7"/>
  <c r="W71" i="7"/>
  <c r="T71" i="7"/>
  <c r="Q71" i="7"/>
  <c r="K71" i="7"/>
  <c r="H71" i="7"/>
  <c r="E71" i="7"/>
  <c r="W70" i="7"/>
  <c r="T70" i="7"/>
  <c r="Q70" i="7"/>
  <c r="K70" i="7"/>
  <c r="H70" i="7"/>
  <c r="E70" i="7"/>
  <c r="W69" i="7"/>
  <c r="T69" i="7"/>
  <c r="Q69" i="7"/>
  <c r="K69" i="7"/>
  <c r="H69" i="7"/>
  <c r="E69" i="7"/>
  <c r="W68" i="7"/>
  <c r="T68" i="7"/>
  <c r="Q68" i="7"/>
  <c r="K68" i="7"/>
  <c r="H68" i="7"/>
  <c r="E68" i="7"/>
  <c r="W67" i="7"/>
  <c r="T67" i="7"/>
  <c r="Q67" i="7"/>
  <c r="K67" i="7"/>
  <c r="K75" i="7" s="1"/>
  <c r="H67" i="7"/>
  <c r="E67" i="7"/>
  <c r="W66" i="7"/>
  <c r="W75" i="7" s="1"/>
  <c r="T66" i="7"/>
  <c r="T75" i="7" s="1"/>
  <c r="Q66" i="7"/>
  <c r="K66" i="7"/>
  <c r="H66" i="7"/>
  <c r="E66" i="7"/>
  <c r="E75" i="7" s="1"/>
  <c r="K76" i="7" s="1"/>
  <c r="D83" i="7" s="1"/>
  <c r="W60" i="7"/>
  <c r="Q60" i="7"/>
  <c r="W59" i="7"/>
  <c r="T59" i="7"/>
  <c r="Q59" i="7"/>
  <c r="K59" i="7"/>
  <c r="H59" i="7"/>
  <c r="E59" i="7"/>
  <c r="W58" i="7"/>
  <c r="T58" i="7"/>
  <c r="Q58" i="7"/>
  <c r="K58" i="7"/>
  <c r="H58" i="7"/>
  <c r="E58" i="7"/>
  <c r="W57" i="7"/>
  <c r="T57" i="7"/>
  <c r="Q57" i="7"/>
  <c r="K57" i="7"/>
  <c r="H57" i="7"/>
  <c r="E57" i="7"/>
  <c r="W56" i="7"/>
  <c r="T56" i="7"/>
  <c r="Q56" i="7"/>
  <c r="K56" i="7"/>
  <c r="H56" i="7"/>
  <c r="E56" i="7"/>
  <c r="W55" i="7"/>
  <c r="T55" i="7"/>
  <c r="Q55" i="7"/>
  <c r="K55" i="7"/>
  <c r="H55" i="7"/>
  <c r="E55" i="7"/>
  <c r="W54" i="7"/>
  <c r="T54" i="7"/>
  <c r="Q54" i="7"/>
  <c r="K54" i="7"/>
  <c r="H54" i="7"/>
  <c r="E54" i="7"/>
  <c r="W53" i="7"/>
  <c r="T53" i="7"/>
  <c r="Q53" i="7"/>
  <c r="K53" i="7"/>
  <c r="H53" i="7"/>
  <c r="E53" i="7"/>
  <c r="W52" i="7"/>
  <c r="T52" i="7"/>
  <c r="T60" i="7" s="1"/>
  <c r="Q52" i="7"/>
  <c r="K52" i="7"/>
  <c r="H52" i="7"/>
  <c r="H60" i="7" s="1"/>
  <c r="E52" i="7"/>
  <c r="E60" i="7" s="1"/>
  <c r="K61" i="7" s="1"/>
  <c r="D82" i="7" s="1"/>
  <c r="W51" i="7"/>
  <c r="T51" i="7"/>
  <c r="Q51" i="7"/>
  <c r="K51" i="7"/>
  <c r="K60" i="7" s="1"/>
  <c r="H51" i="7"/>
  <c r="E51" i="7"/>
  <c r="Q46" i="7"/>
  <c r="H46" i="7"/>
  <c r="W45" i="7"/>
  <c r="T45" i="7"/>
  <c r="Q45" i="7"/>
  <c r="K45" i="7"/>
  <c r="H45" i="7"/>
  <c r="E45" i="7"/>
  <c r="W44" i="7"/>
  <c r="T44" i="7"/>
  <c r="Q44" i="7"/>
  <c r="K44" i="7"/>
  <c r="H44" i="7"/>
  <c r="E44" i="7"/>
  <c r="W43" i="7"/>
  <c r="T43" i="7"/>
  <c r="Q43" i="7"/>
  <c r="K43" i="7"/>
  <c r="H43" i="7"/>
  <c r="E43" i="7"/>
  <c r="W42" i="7"/>
  <c r="T42" i="7"/>
  <c r="Q42" i="7"/>
  <c r="K42" i="7"/>
  <c r="H42" i="7"/>
  <c r="E42" i="7"/>
  <c r="W41" i="7"/>
  <c r="T41" i="7"/>
  <c r="Q41" i="7"/>
  <c r="K41" i="7"/>
  <c r="H41" i="7"/>
  <c r="E41" i="7"/>
  <c r="W40" i="7"/>
  <c r="T40" i="7"/>
  <c r="Q40" i="7"/>
  <c r="K40" i="7"/>
  <c r="H40" i="7"/>
  <c r="E40" i="7"/>
  <c r="W39" i="7"/>
  <c r="T39" i="7"/>
  <c r="Q39" i="7"/>
  <c r="K39" i="7"/>
  <c r="H39" i="7"/>
  <c r="E39" i="7"/>
  <c r="W38" i="7"/>
  <c r="T38" i="7"/>
  <c r="Q38" i="7"/>
  <c r="K38" i="7"/>
  <c r="H38" i="7"/>
  <c r="E38" i="7"/>
  <c r="W37" i="7"/>
  <c r="W46" i="7" s="1"/>
  <c r="T37" i="7"/>
  <c r="T46" i="7" s="1"/>
  <c r="Q37" i="7"/>
  <c r="K37" i="7"/>
  <c r="K46" i="7" s="1"/>
  <c r="H37" i="7"/>
  <c r="E37" i="7"/>
  <c r="E46" i="7" s="1"/>
  <c r="I32" i="7"/>
  <c r="F32" i="7"/>
  <c r="C32" i="7"/>
  <c r="W30" i="7"/>
  <c r="T30" i="7"/>
  <c r="Q30" i="7"/>
  <c r="K30" i="7"/>
  <c r="H30" i="7"/>
  <c r="E30" i="7"/>
  <c r="W29" i="7"/>
  <c r="T29" i="7"/>
  <c r="Q29" i="7"/>
  <c r="K29" i="7"/>
  <c r="H29" i="7"/>
  <c r="E29" i="7"/>
  <c r="W28" i="7"/>
  <c r="T28" i="7"/>
  <c r="Q28" i="7"/>
  <c r="K28" i="7"/>
  <c r="H28" i="7"/>
  <c r="E28" i="7"/>
  <c r="W27" i="7"/>
  <c r="T27" i="7"/>
  <c r="Q27" i="7"/>
  <c r="K27" i="7"/>
  <c r="H27" i="7"/>
  <c r="E27" i="7"/>
  <c r="W26" i="7"/>
  <c r="T26" i="7"/>
  <c r="Q26" i="7"/>
  <c r="K26" i="7"/>
  <c r="H26" i="7"/>
  <c r="E26" i="7"/>
  <c r="W25" i="7"/>
  <c r="T25" i="7"/>
  <c r="Q25" i="7"/>
  <c r="K25" i="7"/>
  <c r="H25" i="7"/>
  <c r="E25" i="7"/>
  <c r="W24" i="7"/>
  <c r="T24" i="7"/>
  <c r="Q24" i="7"/>
  <c r="K24" i="7"/>
  <c r="H24" i="7"/>
  <c r="E24" i="7"/>
  <c r="W23" i="7"/>
  <c r="T23" i="7"/>
  <c r="Q23" i="7"/>
  <c r="Q31" i="7" s="1"/>
  <c r="W32" i="7" s="1"/>
  <c r="F80" i="7" s="1"/>
  <c r="K23" i="7"/>
  <c r="K31" i="7" s="1"/>
  <c r="H23" i="7"/>
  <c r="E23" i="7"/>
  <c r="W22" i="7"/>
  <c r="W31" i="7" s="1"/>
  <c r="T22" i="7"/>
  <c r="T31" i="7" s="1"/>
  <c r="Q22" i="7"/>
  <c r="K22" i="7"/>
  <c r="H22" i="7"/>
  <c r="H31" i="7" s="1"/>
  <c r="E22" i="7"/>
  <c r="E31" i="7" s="1"/>
  <c r="D80" i="7" s="1"/>
  <c r="W16" i="7"/>
  <c r="H16" i="7"/>
  <c r="W15" i="7"/>
  <c r="T15" i="7"/>
  <c r="Q15" i="7"/>
  <c r="Q16" i="7" s="1"/>
  <c r="K15" i="7"/>
  <c r="H15" i="7"/>
  <c r="E15" i="7"/>
  <c r="K14" i="7"/>
  <c r="H14" i="7"/>
  <c r="E14" i="7"/>
  <c r="W13" i="7"/>
  <c r="T13" i="7"/>
  <c r="Q13" i="7"/>
  <c r="K13" i="7"/>
  <c r="H13" i="7"/>
  <c r="E13" i="7"/>
  <c r="W12" i="7"/>
  <c r="T12" i="7"/>
  <c r="Q12" i="7"/>
  <c r="K12" i="7"/>
  <c r="H12" i="7"/>
  <c r="E12" i="7"/>
  <c r="W11" i="7"/>
  <c r="T11" i="7"/>
  <c r="Q11" i="7"/>
  <c r="K11" i="7"/>
  <c r="H11" i="7"/>
  <c r="E11" i="7"/>
  <c r="W10" i="7"/>
  <c r="T10" i="7"/>
  <c r="Q10" i="7"/>
  <c r="K10" i="7"/>
  <c r="H10" i="7"/>
  <c r="E10" i="7"/>
  <c r="W9" i="7"/>
  <c r="T9" i="7"/>
  <c r="Q9" i="7"/>
  <c r="K9" i="7"/>
  <c r="H9" i="7"/>
  <c r="E9" i="7"/>
  <c r="W8" i="7"/>
  <c r="T8" i="7"/>
  <c r="Q8" i="7"/>
  <c r="K8" i="7"/>
  <c r="H8" i="7"/>
  <c r="E8" i="7"/>
  <c r="W7" i="7"/>
  <c r="T7" i="7"/>
  <c r="Q7" i="7"/>
  <c r="K7" i="7"/>
  <c r="H7" i="7"/>
  <c r="E7" i="7"/>
  <c r="W6" i="7"/>
  <c r="T6" i="7"/>
  <c r="Q6" i="7"/>
  <c r="K6" i="7"/>
  <c r="K16" i="7" s="1"/>
  <c r="F53" i="28" s="1"/>
  <c r="G53" i="28" s="1"/>
  <c r="H6" i="7"/>
  <c r="E6" i="7"/>
  <c r="Z60" i="1"/>
  <c r="K60" i="1"/>
  <c r="Z59" i="1"/>
  <c r="W59" i="1"/>
  <c r="T59" i="1"/>
  <c r="N59" i="1"/>
  <c r="K59" i="1"/>
  <c r="H59" i="1"/>
  <c r="E59" i="1"/>
  <c r="Z58" i="1"/>
  <c r="W58" i="1"/>
  <c r="T58" i="1"/>
  <c r="N58" i="1"/>
  <c r="K58" i="1"/>
  <c r="H58" i="1"/>
  <c r="E58" i="1"/>
  <c r="Z57" i="1"/>
  <c r="W57" i="1"/>
  <c r="T57" i="1"/>
  <c r="N57" i="1"/>
  <c r="K57" i="1"/>
  <c r="H57" i="1"/>
  <c r="E57" i="1"/>
  <c r="Z56" i="1"/>
  <c r="W56" i="1"/>
  <c r="T56" i="1"/>
  <c r="N56" i="1"/>
  <c r="K56" i="1"/>
  <c r="H56" i="1"/>
  <c r="E56" i="1"/>
  <c r="Z55" i="1"/>
  <c r="W55" i="1"/>
  <c r="T55" i="1"/>
  <c r="N55" i="1"/>
  <c r="K55" i="1"/>
  <c r="H55" i="1"/>
  <c r="E55" i="1"/>
  <c r="Z54" i="1"/>
  <c r="W54" i="1"/>
  <c r="T54" i="1"/>
  <c r="N54" i="1"/>
  <c r="K54" i="1"/>
  <c r="H54" i="1"/>
  <c r="E54" i="1"/>
  <c r="Z53" i="1"/>
  <c r="W53" i="1"/>
  <c r="T53" i="1"/>
  <c r="N53" i="1"/>
  <c r="K53" i="1"/>
  <c r="H53" i="1"/>
  <c r="E53" i="1"/>
  <c r="Z52" i="1"/>
  <c r="W52" i="1"/>
  <c r="T52" i="1"/>
  <c r="T60" i="1" s="1"/>
  <c r="Z61" i="1" s="1"/>
  <c r="F68" i="1" s="1"/>
  <c r="N52" i="1"/>
  <c r="K52" i="1"/>
  <c r="H52" i="1"/>
  <c r="E52" i="1"/>
  <c r="E60" i="1" s="1"/>
  <c r="Z51" i="1"/>
  <c r="W51" i="1"/>
  <c r="W60" i="1" s="1"/>
  <c r="T51" i="1"/>
  <c r="N51" i="1"/>
  <c r="N60" i="1" s="1"/>
  <c r="K51" i="1"/>
  <c r="H51" i="1"/>
  <c r="H60" i="1" s="1"/>
  <c r="E51" i="1"/>
  <c r="Z45" i="1"/>
  <c r="Z44" i="1"/>
  <c r="W44" i="1"/>
  <c r="T44" i="1"/>
  <c r="N44" i="1"/>
  <c r="K44" i="1"/>
  <c r="H44" i="1"/>
  <c r="E44" i="1"/>
  <c r="Z43" i="1"/>
  <c r="W43" i="1"/>
  <c r="T43" i="1"/>
  <c r="N43" i="1"/>
  <c r="K43" i="1"/>
  <c r="H43" i="1"/>
  <c r="E43" i="1"/>
  <c r="Z42" i="1"/>
  <c r="W42" i="1"/>
  <c r="T42" i="1"/>
  <c r="N42" i="1"/>
  <c r="K42" i="1"/>
  <c r="H42" i="1"/>
  <c r="E42" i="1"/>
  <c r="Z41" i="1"/>
  <c r="W41" i="1"/>
  <c r="T41" i="1"/>
  <c r="N41" i="1"/>
  <c r="K41" i="1"/>
  <c r="H41" i="1"/>
  <c r="E41" i="1"/>
  <c r="Z40" i="1"/>
  <c r="W40" i="1"/>
  <c r="T40" i="1"/>
  <c r="N40" i="1"/>
  <c r="K40" i="1"/>
  <c r="H40" i="1"/>
  <c r="E40" i="1"/>
  <c r="Z39" i="1"/>
  <c r="W39" i="1"/>
  <c r="T39" i="1"/>
  <c r="N39" i="1"/>
  <c r="K39" i="1"/>
  <c r="H39" i="1"/>
  <c r="E39" i="1"/>
  <c r="Z38" i="1"/>
  <c r="W38" i="1"/>
  <c r="T38" i="1"/>
  <c r="N38" i="1"/>
  <c r="K38" i="1"/>
  <c r="H38" i="1"/>
  <c r="E38" i="1"/>
  <c r="Z37" i="1"/>
  <c r="W37" i="1"/>
  <c r="T37" i="1"/>
  <c r="N37" i="1"/>
  <c r="K37" i="1"/>
  <c r="K45" i="1" s="1"/>
  <c r="H37" i="1"/>
  <c r="E37" i="1"/>
  <c r="Z36" i="1"/>
  <c r="W36" i="1"/>
  <c r="W45" i="1" s="1"/>
  <c r="T36" i="1"/>
  <c r="N36" i="1"/>
  <c r="K36" i="1"/>
  <c r="H36" i="1"/>
  <c r="H45" i="1" s="1"/>
  <c r="E36" i="1"/>
  <c r="F32" i="1"/>
  <c r="Z30" i="1"/>
  <c r="W30" i="1"/>
  <c r="T30" i="1"/>
  <c r="N30" i="1"/>
  <c r="K30" i="1"/>
  <c r="H30" i="1"/>
  <c r="E30" i="1"/>
  <c r="Z29" i="1"/>
  <c r="W29" i="1"/>
  <c r="T29" i="1"/>
  <c r="N29" i="1"/>
  <c r="K29" i="1"/>
  <c r="H29" i="1"/>
  <c r="E29" i="1"/>
  <c r="Z28" i="1"/>
  <c r="W28" i="1"/>
  <c r="T28" i="1"/>
  <c r="N28" i="1"/>
  <c r="K28" i="1"/>
  <c r="H28" i="1"/>
  <c r="E28" i="1"/>
  <c r="Z27" i="1"/>
  <c r="W27" i="1"/>
  <c r="T27" i="1"/>
  <c r="N27" i="1"/>
  <c r="K27" i="1"/>
  <c r="H27" i="1"/>
  <c r="E27" i="1"/>
  <c r="Z26" i="1"/>
  <c r="W26" i="1"/>
  <c r="T26" i="1"/>
  <c r="N26" i="1"/>
  <c r="K26" i="1"/>
  <c r="H26" i="1"/>
  <c r="E26" i="1"/>
  <c r="Z25" i="1"/>
  <c r="W25" i="1"/>
  <c r="T25" i="1"/>
  <c r="N25" i="1"/>
  <c r="K25" i="1"/>
  <c r="H25" i="1"/>
  <c r="E25" i="1"/>
  <c r="Z24" i="1"/>
  <c r="W24" i="1"/>
  <c r="T24" i="1"/>
  <c r="N24" i="1"/>
  <c r="K24" i="1"/>
  <c r="H24" i="1"/>
  <c r="E24" i="1"/>
  <c r="Z23" i="1"/>
  <c r="W23" i="1"/>
  <c r="T23" i="1"/>
  <c r="N23" i="1"/>
  <c r="N31" i="1" s="1"/>
  <c r="K23" i="1"/>
  <c r="H23" i="1"/>
  <c r="E23" i="1"/>
  <c r="Z22" i="1"/>
  <c r="Z31" i="1" s="1"/>
  <c r="W22" i="1"/>
  <c r="T22" i="1"/>
  <c r="N22" i="1"/>
  <c r="K22" i="1"/>
  <c r="K31" i="1" s="1"/>
  <c r="H22" i="1"/>
  <c r="E22" i="1"/>
  <c r="H19" i="1"/>
  <c r="W16" i="1"/>
  <c r="Z15" i="1"/>
  <c r="W15" i="1"/>
  <c r="T15" i="1"/>
  <c r="N15" i="1"/>
  <c r="K15" i="1"/>
  <c r="H15" i="1"/>
  <c r="E15" i="1"/>
  <c r="H14" i="1"/>
  <c r="E14" i="1"/>
  <c r="Z13" i="1"/>
  <c r="W13" i="1"/>
  <c r="T13" i="1"/>
  <c r="N13" i="1"/>
  <c r="K13" i="1"/>
  <c r="H13" i="1"/>
  <c r="E13" i="1"/>
  <c r="Z12" i="1"/>
  <c r="W12" i="1"/>
  <c r="T12" i="1"/>
  <c r="N12" i="1"/>
  <c r="K12" i="1"/>
  <c r="H12" i="1"/>
  <c r="E12" i="1"/>
  <c r="Z11" i="1"/>
  <c r="W11" i="1"/>
  <c r="T11" i="1"/>
  <c r="N11" i="1"/>
  <c r="K11" i="1"/>
  <c r="H11" i="1"/>
  <c r="E11" i="1"/>
  <c r="Z10" i="1"/>
  <c r="W10" i="1"/>
  <c r="T10" i="1"/>
  <c r="N10" i="1"/>
  <c r="K10" i="1"/>
  <c r="H10" i="1"/>
  <c r="E10" i="1"/>
  <c r="Z9" i="1"/>
  <c r="W9" i="1"/>
  <c r="T9" i="1"/>
  <c r="N9" i="1"/>
  <c r="K9" i="1"/>
  <c r="H9" i="1"/>
  <c r="H16" i="1" s="1"/>
  <c r="E9" i="1"/>
  <c r="Z8" i="1"/>
  <c r="W8" i="1"/>
  <c r="T8" i="1"/>
  <c r="N8" i="1"/>
  <c r="K8" i="1"/>
  <c r="H8" i="1"/>
  <c r="E8" i="1"/>
  <c r="Z7" i="1"/>
  <c r="W7" i="1"/>
  <c r="T7" i="1"/>
  <c r="N7" i="1"/>
  <c r="N16" i="1" s="1"/>
  <c r="K7" i="1"/>
  <c r="H7" i="1"/>
  <c r="E7" i="1"/>
  <c r="Z6" i="1"/>
  <c r="Z16" i="1" s="1"/>
  <c r="W6" i="1"/>
  <c r="T6" i="1"/>
  <c r="N6" i="1"/>
  <c r="K6" i="1"/>
  <c r="K16" i="1" s="1"/>
  <c r="H6" i="1"/>
  <c r="E6" i="1"/>
  <c r="H131" i="6"/>
  <c r="D129" i="6"/>
  <c r="G98" i="6"/>
  <c r="G93" i="6"/>
  <c r="M90" i="6"/>
  <c r="L90" i="6"/>
  <c r="K90" i="6"/>
  <c r="M89" i="6"/>
  <c r="L89" i="6"/>
  <c r="K89" i="6"/>
  <c r="G89" i="6"/>
  <c r="F82" i="6"/>
  <c r="F81" i="6"/>
  <c r="E81" i="6"/>
  <c r="K64" i="6"/>
  <c r="W63" i="6"/>
  <c r="V63" i="6"/>
  <c r="T63" i="6"/>
  <c r="T64" i="6" s="1"/>
  <c r="M63" i="6"/>
  <c r="L63" i="6"/>
  <c r="K63" i="6"/>
  <c r="J63" i="6"/>
  <c r="F63" i="6"/>
  <c r="E63" i="6"/>
  <c r="C63" i="6" s="1"/>
  <c r="U62" i="6"/>
  <c r="D62" i="6"/>
  <c r="U61" i="6"/>
  <c r="D61" i="6"/>
  <c r="U60" i="6"/>
  <c r="D60" i="6"/>
  <c r="U59" i="6"/>
  <c r="D59" i="6"/>
  <c r="U58" i="6"/>
  <c r="D58" i="6"/>
  <c r="U57" i="6"/>
  <c r="D57" i="6"/>
  <c r="U56" i="6"/>
  <c r="D56" i="6"/>
  <c r="U55" i="6"/>
  <c r="D55" i="6"/>
  <c r="U54" i="6"/>
  <c r="D54" i="6"/>
  <c r="U53" i="6"/>
  <c r="D53" i="6"/>
  <c r="U52" i="6"/>
  <c r="D52" i="6"/>
  <c r="U51" i="6"/>
  <c r="U63" i="6" s="1"/>
  <c r="D51" i="6"/>
  <c r="Z45" i="6"/>
  <c r="Y45" i="6"/>
  <c r="W45" i="6"/>
  <c r="W46" i="6" s="1"/>
  <c r="V45" i="6"/>
  <c r="U45" i="6"/>
  <c r="T45" i="6"/>
  <c r="O45" i="6"/>
  <c r="N45" i="6"/>
  <c r="L45" i="6" s="1"/>
  <c r="L46" i="6" s="1"/>
  <c r="K45" i="6"/>
  <c r="J45" i="6"/>
  <c r="F45" i="6"/>
  <c r="E45" i="6"/>
  <c r="D45" i="6"/>
  <c r="C45" i="6"/>
  <c r="M44" i="6"/>
  <c r="M43" i="6"/>
  <c r="M42" i="6"/>
  <c r="M41" i="6"/>
  <c r="M40" i="6"/>
  <c r="M39" i="6"/>
  <c r="M38" i="6"/>
  <c r="M37" i="6"/>
  <c r="M36" i="6"/>
  <c r="M35" i="6"/>
  <c r="M34" i="6"/>
  <c r="M33" i="6"/>
  <c r="M45" i="6" s="1"/>
  <c r="D27" i="6"/>
  <c r="C27" i="6"/>
  <c r="E27" i="6" s="1"/>
  <c r="E26" i="6"/>
  <c r="E25" i="6"/>
  <c r="E24" i="6"/>
  <c r="U21" i="6"/>
  <c r="S21" i="6"/>
  <c r="K21" i="6"/>
  <c r="F21" i="6"/>
  <c r="W20" i="6"/>
  <c r="H20" i="6"/>
  <c r="U19" i="6"/>
  <c r="L19" i="6"/>
  <c r="L17" i="6" s="1"/>
  <c r="F19" i="6"/>
  <c r="C19" i="6"/>
  <c r="W17" i="6"/>
  <c r="V17" i="6"/>
  <c r="V21" i="6" s="1"/>
  <c r="U17" i="6"/>
  <c r="U22" i="6" s="1"/>
  <c r="T17" i="6"/>
  <c r="S17" i="6"/>
  <c r="N17" i="6"/>
  <c r="M17" i="6"/>
  <c r="K17" i="6"/>
  <c r="J17" i="6"/>
  <c r="J21" i="6" s="1"/>
  <c r="G17" i="6"/>
  <c r="F17" i="6"/>
  <c r="D17" i="6"/>
  <c r="D21" i="6" s="1"/>
  <c r="C17" i="6"/>
  <c r="C21" i="6" s="1"/>
  <c r="K3" i="6"/>
  <c r="E253" i="28"/>
  <c r="D253" i="28"/>
  <c r="D255" i="28" s="1"/>
  <c r="D256" i="28" s="1"/>
  <c r="E247" i="28"/>
  <c r="F200" i="28"/>
  <c r="I127" i="28"/>
  <c r="H127" i="28"/>
  <c r="F127" i="28"/>
  <c r="G127" i="28" s="1"/>
  <c r="J127" i="28" s="1"/>
  <c r="I126" i="28"/>
  <c r="G126" i="28"/>
  <c r="F126" i="28"/>
  <c r="J125" i="28"/>
  <c r="I125" i="28"/>
  <c r="H125" i="28"/>
  <c r="G125" i="28"/>
  <c r="F125" i="28"/>
  <c r="I118" i="28"/>
  <c r="H118" i="28" s="1"/>
  <c r="I116" i="28"/>
  <c r="I122" i="28" s="1"/>
  <c r="H116" i="28"/>
  <c r="H115" i="28"/>
  <c r="I115" i="28" s="1"/>
  <c r="H114" i="28"/>
  <c r="I114" i="28" s="1"/>
  <c r="H113" i="28"/>
  <c r="I112" i="28"/>
  <c r="H112" i="28"/>
  <c r="G109" i="28"/>
  <c r="G108" i="28"/>
  <c r="G107" i="28"/>
  <c r="G105" i="28"/>
  <c r="H102" i="28"/>
  <c r="I102" i="28" s="1"/>
  <c r="H101" i="28"/>
  <c r="I101" i="28" s="1"/>
  <c r="H100" i="28"/>
  <c r="I104" i="28" s="1"/>
  <c r="H104" i="28" s="1"/>
  <c r="H99" i="28"/>
  <c r="I98" i="28"/>
  <c r="I107" i="28" s="1"/>
  <c r="J107" i="28" s="1"/>
  <c r="H98" i="28"/>
  <c r="G98" i="28"/>
  <c r="F98" i="28" s="1"/>
  <c r="G97" i="28"/>
  <c r="G110" i="28" s="1"/>
  <c r="F97" i="28"/>
  <c r="H88" i="28"/>
  <c r="I88" i="28" s="1"/>
  <c r="H87" i="28"/>
  <c r="I87" i="28" s="1"/>
  <c r="H86" i="28"/>
  <c r="I90" i="28" s="1"/>
  <c r="H90" i="28" s="1"/>
  <c r="H85" i="28"/>
  <c r="G82" i="28"/>
  <c r="E82" i="28"/>
  <c r="I81" i="28"/>
  <c r="J81" i="28" s="1"/>
  <c r="H81" i="28"/>
  <c r="F81" i="28"/>
  <c r="F80" i="28"/>
  <c r="F79" i="28"/>
  <c r="F78" i="28"/>
  <c r="F77" i="28"/>
  <c r="E76" i="28"/>
  <c r="I75" i="28"/>
  <c r="I71" i="28"/>
  <c r="E70" i="28"/>
  <c r="I69" i="28"/>
  <c r="H69" i="28"/>
  <c r="I66" i="28"/>
  <c r="H66" i="28"/>
  <c r="I65" i="28"/>
  <c r="H65" i="28"/>
  <c r="E64" i="28"/>
  <c r="I63" i="28"/>
  <c r="I60" i="28"/>
  <c r="H60" i="28"/>
  <c r="P60" i="28" s="1"/>
  <c r="H58" i="28"/>
  <c r="E58" i="28"/>
  <c r="H57" i="28"/>
  <c r="I57" i="28" s="1"/>
  <c r="F57" i="28"/>
  <c r="G57" i="28" s="1"/>
  <c r="J57" i="28" s="1"/>
  <c r="H56" i="28"/>
  <c r="I56" i="28" s="1"/>
  <c r="G56" i="28"/>
  <c r="H55" i="28"/>
  <c r="I55" i="28" s="1"/>
  <c r="E54" i="28"/>
  <c r="H53" i="28"/>
  <c r="I53" i="28" s="1"/>
  <c r="H52" i="28"/>
  <c r="I52" i="28" s="1"/>
  <c r="F52" i="28"/>
  <c r="F56" i="28" s="1"/>
  <c r="I51" i="28"/>
  <c r="H51" i="28"/>
  <c r="S43" i="28"/>
  <c r="S42" i="28"/>
  <c r="R42" i="28"/>
  <c r="Q42" i="28"/>
  <c r="P42" i="28"/>
  <c r="O42" i="28"/>
  <c r="M42" i="28"/>
  <c r="J42" i="28"/>
  <c r="I42" i="28"/>
  <c r="H42" i="28"/>
  <c r="D42" i="28"/>
  <c r="G43" i="28"/>
  <c r="E42" i="28"/>
  <c r="Q36" i="28"/>
  <c r="E36" i="28"/>
  <c r="R35" i="28"/>
  <c r="M35" i="28"/>
  <c r="J35" i="28"/>
  <c r="I35" i="28"/>
  <c r="H35" i="28"/>
  <c r="G35" i="28"/>
  <c r="D35" i="28"/>
  <c r="N36" i="28"/>
  <c r="O35" i="28"/>
  <c r="Q35" i="28"/>
  <c r="O36" i="28"/>
  <c r="E35" i="28"/>
  <c r="E29" i="28"/>
  <c r="J29" i="28" s="1"/>
  <c r="D29" i="28"/>
  <c r="S28" i="28"/>
  <c r="R28" i="28"/>
  <c r="Q28" i="28"/>
  <c r="O28" i="28"/>
  <c r="M28" i="28"/>
  <c r="J28" i="28"/>
  <c r="I28" i="28"/>
  <c r="H28" i="28"/>
  <c r="G28" i="28"/>
  <c r="D28" i="28"/>
  <c r="N28" i="28"/>
  <c r="P29" i="28"/>
  <c r="S29" i="28" s="1"/>
  <c r="N29" i="28"/>
  <c r="E28" i="28"/>
  <c r="O22" i="28"/>
  <c r="N22" i="28"/>
  <c r="D22" i="28"/>
  <c r="R21" i="28"/>
  <c r="I21" i="28"/>
  <c r="H21" i="28"/>
  <c r="G21" i="28"/>
  <c r="S20" i="28"/>
  <c r="S19" i="28"/>
  <c r="Q22" i="28"/>
  <c r="O21" i="28"/>
  <c r="N21" i="28"/>
  <c r="M22" i="28"/>
  <c r="D21" i="28"/>
  <c r="S14" i="28"/>
  <c r="R14" i="28"/>
  <c r="P14" i="28"/>
  <c r="O14" i="28"/>
  <c r="M14" i="28"/>
  <c r="H14" i="28"/>
  <c r="E14" i="28"/>
  <c r="E15" i="28"/>
  <c r="J8" i="28"/>
  <c r="E253" i="25"/>
  <c r="D253" i="25"/>
  <c r="E247" i="25"/>
  <c r="F199" i="25"/>
  <c r="F200" i="25"/>
  <c r="I127" i="25"/>
  <c r="J127" i="25" s="1"/>
  <c r="H127" i="25"/>
  <c r="G127" i="25"/>
  <c r="F127" i="25"/>
  <c r="F126" i="25"/>
  <c r="G126" i="25" s="1"/>
  <c r="I125" i="25"/>
  <c r="G125" i="25"/>
  <c r="F125" i="25" s="1"/>
  <c r="I118" i="25"/>
  <c r="H118" i="25" s="1"/>
  <c r="I116" i="25"/>
  <c r="H116" i="25"/>
  <c r="I115" i="25"/>
  <c r="I121" i="25" s="1"/>
  <c r="H115" i="25"/>
  <c r="K114" i="25"/>
  <c r="H114" i="25"/>
  <c r="I114" i="25" s="1"/>
  <c r="H113" i="25"/>
  <c r="I113" i="25" s="1"/>
  <c r="I112" i="25"/>
  <c r="G109" i="25"/>
  <c r="G107" i="25"/>
  <c r="G105" i="25"/>
  <c r="H102" i="25"/>
  <c r="I102" i="25" s="1"/>
  <c r="H101" i="25"/>
  <c r="I101" i="25" s="1"/>
  <c r="H100" i="25"/>
  <c r="H99" i="25"/>
  <c r="I98" i="25"/>
  <c r="G98" i="25"/>
  <c r="F98" i="25" s="1"/>
  <c r="G97" i="25"/>
  <c r="G110" i="25" s="1"/>
  <c r="F97" i="25"/>
  <c r="H88" i="25"/>
  <c r="I88" i="25" s="1"/>
  <c r="H87" i="25"/>
  <c r="I87" i="25" s="1"/>
  <c r="H86" i="25"/>
  <c r="H85" i="25"/>
  <c r="G82" i="25"/>
  <c r="E82" i="25"/>
  <c r="I81" i="25"/>
  <c r="F81" i="25"/>
  <c r="I80" i="25"/>
  <c r="F80" i="25"/>
  <c r="F79" i="25"/>
  <c r="F78" i="25"/>
  <c r="F77" i="25"/>
  <c r="E76" i="25"/>
  <c r="I75" i="25"/>
  <c r="I71" i="25"/>
  <c r="G71" i="25"/>
  <c r="E70" i="25"/>
  <c r="I69" i="25"/>
  <c r="H69" i="25"/>
  <c r="I66" i="25"/>
  <c r="J65" i="25"/>
  <c r="I65" i="25"/>
  <c r="H65" i="25"/>
  <c r="E64" i="25"/>
  <c r="I63" i="25"/>
  <c r="I60" i="25"/>
  <c r="H60" i="25"/>
  <c r="P60" i="25" s="1"/>
  <c r="G59" i="25"/>
  <c r="G65" i="25" s="1"/>
  <c r="F65" i="25" s="1"/>
  <c r="F59" i="25"/>
  <c r="E58" i="25"/>
  <c r="H57" i="25"/>
  <c r="I57" i="25" s="1"/>
  <c r="I56" i="25"/>
  <c r="H56" i="25"/>
  <c r="G56" i="25"/>
  <c r="I55" i="25"/>
  <c r="H55" i="25"/>
  <c r="H54" i="25"/>
  <c r="E54" i="25"/>
  <c r="H53" i="25"/>
  <c r="I53" i="25" s="1"/>
  <c r="F53" i="25"/>
  <c r="I52" i="25"/>
  <c r="H52" i="25"/>
  <c r="G52" i="25"/>
  <c r="F52" i="25"/>
  <c r="F56" i="25" s="1"/>
  <c r="H51" i="25"/>
  <c r="I51" i="25" s="1"/>
  <c r="I50" i="25"/>
  <c r="S43" i="25"/>
  <c r="S42" i="25"/>
  <c r="R42" i="25"/>
  <c r="Q42" i="25"/>
  <c r="P42" i="25"/>
  <c r="O42" i="25"/>
  <c r="M42" i="25"/>
  <c r="J42" i="25"/>
  <c r="I42" i="25"/>
  <c r="H42" i="25"/>
  <c r="D42" i="25"/>
  <c r="N43" i="25"/>
  <c r="E43" i="25"/>
  <c r="P36" i="25"/>
  <c r="S36" i="25" s="1"/>
  <c r="R35" i="25"/>
  <c r="M35" i="25"/>
  <c r="J35" i="25"/>
  <c r="I35" i="25"/>
  <c r="H35" i="25"/>
  <c r="G35" i="25"/>
  <c r="D35" i="25"/>
  <c r="P35" i="25"/>
  <c r="N36" i="25"/>
  <c r="D29" i="25"/>
  <c r="S28" i="25"/>
  <c r="R28" i="25"/>
  <c r="Q28" i="25"/>
  <c r="P28" i="25"/>
  <c r="O28" i="25"/>
  <c r="M28" i="25"/>
  <c r="J28" i="25"/>
  <c r="I28" i="25"/>
  <c r="H28" i="25"/>
  <c r="G28" i="25"/>
  <c r="D28" i="25"/>
  <c r="E28" i="25"/>
  <c r="N28" i="25"/>
  <c r="P29" i="25"/>
  <c r="S29" i="25" s="1"/>
  <c r="N29" i="25"/>
  <c r="E29" i="25"/>
  <c r="Q22" i="25"/>
  <c r="M22" i="25"/>
  <c r="E22" i="25"/>
  <c r="R21" i="25"/>
  <c r="I21" i="25"/>
  <c r="H21" i="25"/>
  <c r="G21" i="25"/>
  <c r="S20" i="25"/>
  <c r="S19" i="25"/>
  <c r="Q21" i="25"/>
  <c r="P22" i="25"/>
  <c r="S22" i="25" s="1"/>
  <c r="O22" i="25"/>
  <c r="N21" i="25"/>
  <c r="M21" i="25"/>
  <c r="E21" i="25"/>
  <c r="D22" i="25"/>
  <c r="S14" i="25"/>
  <c r="R14" i="25"/>
  <c r="P14" i="25"/>
  <c r="O14" i="25"/>
  <c r="N14" i="25"/>
  <c r="M14" i="25"/>
  <c r="H14" i="25"/>
  <c r="N15" i="25"/>
  <c r="E14" i="25"/>
  <c r="G14" i="25"/>
  <c r="J8" i="25"/>
  <c r="F201" i="26"/>
  <c r="F200" i="26"/>
  <c r="I127" i="26"/>
  <c r="J127" i="26" s="1"/>
  <c r="H127" i="26"/>
  <c r="G127" i="26"/>
  <c r="F127" i="26"/>
  <c r="J126" i="26"/>
  <c r="H126" i="26"/>
  <c r="I126" i="26" s="1"/>
  <c r="F126" i="26"/>
  <c r="G126" i="26" s="1"/>
  <c r="I125" i="26"/>
  <c r="J125" i="26" s="1"/>
  <c r="G125" i="26"/>
  <c r="F125" i="26" s="1"/>
  <c r="I118" i="26"/>
  <c r="H118" i="26" s="1"/>
  <c r="I116" i="26"/>
  <c r="H116" i="26"/>
  <c r="I115" i="26"/>
  <c r="H115" i="26"/>
  <c r="H114" i="26"/>
  <c r="I114" i="26" s="1"/>
  <c r="K114" i="26" s="1"/>
  <c r="H113" i="26"/>
  <c r="F112" i="26"/>
  <c r="G110" i="26"/>
  <c r="G108" i="26"/>
  <c r="G106" i="26"/>
  <c r="I104" i="26"/>
  <c r="H104" i="26" s="1"/>
  <c r="I103" i="26"/>
  <c r="H103" i="26" s="1"/>
  <c r="I102" i="26"/>
  <c r="H102" i="26"/>
  <c r="I101" i="26"/>
  <c r="H101" i="26"/>
  <c r="I100" i="26"/>
  <c r="H100" i="26"/>
  <c r="I99" i="26"/>
  <c r="H99" i="26"/>
  <c r="F98" i="26"/>
  <c r="G97" i="26"/>
  <c r="G107" i="26" s="1"/>
  <c r="F97" i="26"/>
  <c r="H88" i="26"/>
  <c r="I88" i="26" s="1"/>
  <c r="H87" i="26"/>
  <c r="I87" i="26" s="1"/>
  <c r="H86" i="26"/>
  <c r="H85" i="26"/>
  <c r="I89" i="26" s="1"/>
  <c r="H89" i="26" s="1"/>
  <c r="G82" i="26"/>
  <c r="E82" i="26"/>
  <c r="I81" i="26"/>
  <c r="F81" i="26"/>
  <c r="I80" i="26"/>
  <c r="F80" i="26"/>
  <c r="F79" i="26"/>
  <c r="F78" i="26"/>
  <c r="F77" i="26"/>
  <c r="E76" i="26"/>
  <c r="I75" i="26"/>
  <c r="I71" i="26"/>
  <c r="E70" i="26"/>
  <c r="I69" i="26"/>
  <c r="H69" i="26"/>
  <c r="H65" i="26"/>
  <c r="E64" i="26"/>
  <c r="I63" i="26"/>
  <c r="I60" i="26"/>
  <c r="H60" i="26"/>
  <c r="P60" i="26" s="1"/>
  <c r="O59" i="26"/>
  <c r="G59" i="26"/>
  <c r="G65" i="26" s="1"/>
  <c r="F59" i="26"/>
  <c r="E58" i="26"/>
  <c r="H57" i="26"/>
  <c r="I57" i="26" s="1"/>
  <c r="J57" i="26" s="1"/>
  <c r="F57" i="26"/>
  <c r="G57" i="26" s="1"/>
  <c r="I56" i="26"/>
  <c r="H56" i="26"/>
  <c r="H55" i="26"/>
  <c r="I55" i="26" s="1"/>
  <c r="E54" i="26"/>
  <c r="I53" i="26"/>
  <c r="H53" i="26"/>
  <c r="G53" i="26"/>
  <c r="F53" i="26"/>
  <c r="H52" i="26"/>
  <c r="I52" i="26" s="1"/>
  <c r="F52" i="26"/>
  <c r="I51" i="26"/>
  <c r="H51" i="26"/>
  <c r="H54" i="26" s="1"/>
  <c r="I50" i="26"/>
  <c r="D159" i="26" s="1"/>
  <c r="S43" i="26"/>
  <c r="S42" i="26"/>
  <c r="R42" i="26"/>
  <c r="Q42" i="26"/>
  <c r="P42" i="26"/>
  <c r="O42" i="26"/>
  <c r="N42" i="26"/>
  <c r="M42" i="26"/>
  <c r="J42" i="26"/>
  <c r="I42" i="26"/>
  <c r="H42" i="26"/>
  <c r="D42" i="26"/>
  <c r="N43" i="26"/>
  <c r="G43" i="26"/>
  <c r="O36" i="26"/>
  <c r="R35" i="26"/>
  <c r="M35" i="26"/>
  <c r="J35" i="26"/>
  <c r="I35" i="26"/>
  <c r="H35" i="26"/>
  <c r="G35" i="26"/>
  <c r="D35" i="26"/>
  <c r="Q36" i="26"/>
  <c r="O35" i="26"/>
  <c r="E36" i="26"/>
  <c r="D29" i="26"/>
  <c r="S28" i="26"/>
  <c r="R28" i="26"/>
  <c r="Q28" i="26"/>
  <c r="O28" i="26"/>
  <c r="M28" i="26"/>
  <c r="J28" i="26"/>
  <c r="I28" i="26"/>
  <c r="H28" i="26"/>
  <c r="G28" i="26"/>
  <c r="D28" i="26"/>
  <c r="E29" i="26"/>
  <c r="J29" i="26" s="1"/>
  <c r="P29" i="26"/>
  <c r="S29" i="26" s="1"/>
  <c r="N28" i="26"/>
  <c r="E28" i="26"/>
  <c r="P22" i="26"/>
  <c r="J22" i="26"/>
  <c r="D22" i="26"/>
  <c r="R21" i="26"/>
  <c r="I21" i="26"/>
  <c r="H21" i="26"/>
  <c r="G21" i="26"/>
  <c r="S20" i="26"/>
  <c r="S19" i="26"/>
  <c r="S18" i="26"/>
  <c r="Q21" i="26"/>
  <c r="P21" i="26"/>
  <c r="O22" i="26"/>
  <c r="N22" i="26"/>
  <c r="M21" i="26"/>
  <c r="E22" i="26"/>
  <c r="D21" i="26"/>
  <c r="Q15" i="26"/>
  <c r="E15" i="26"/>
  <c r="S14" i="26"/>
  <c r="R14" i="26"/>
  <c r="Q14" i="26"/>
  <c r="P14" i="26"/>
  <c r="O14" i="26"/>
  <c r="M14" i="26"/>
  <c r="H14" i="26"/>
  <c r="G14" i="26"/>
  <c r="J14" i="26" s="1"/>
  <c r="D14" i="26"/>
  <c r="N15" i="26"/>
  <c r="G15" i="26"/>
  <c r="E14" i="26"/>
  <c r="I14" i="26" s="1"/>
  <c r="D15" i="26"/>
  <c r="J8" i="26"/>
  <c r="F199" i="27"/>
  <c r="I127" i="27"/>
  <c r="H127" i="27"/>
  <c r="F127" i="27"/>
  <c r="G127" i="27" s="1"/>
  <c r="J127" i="27" s="1"/>
  <c r="H126" i="27"/>
  <c r="I126" i="27" s="1"/>
  <c r="J126" i="27" s="1"/>
  <c r="G126" i="27"/>
  <c r="F126" i="27"/>
  <c r="I125" i="27"/>
  <c r="J125" i="27" s="1"/>
  <c r="H125" i="27"/>
  <c r="G125" i="27"/>
  <c r="F125" i="27" s="1"/>
  <c r="I118" i="27"/>
  <c r="H118" i="27" s="1"/>
  <c r="I116" i="27"/>
  <c r="H116" i="27"/>
  <c r="H115" i="27"/>
  <c r="I115" i="27" s="1"/>
  <c r="H114" i="27"/>
  <c r="I114" i="27" s="1"/>
  <c r="K114" i="27" s="1"/>
  <c r="I113" i="27"/>
  <c r="H113" i="27"/>
  <c r="I117" i="27" s="1"/>
  <c r="H117" i="27" s="1"/>
  <c r="F112" i="27"/>
  <c r="I104" i="27"/>
  <c r="H104" i="27" s="1"/>
  <c r="I102" i="27"/>
  <c r="H102" i="27"/>
  <c r="H101" i="27"/>
  <c r="I101" i="27" s="1"/>
  <c r="I100" i="27"/>
  <c r="H100" i="27"/>
  <c r="H99" i="27"/>
  <c r="I103" i="27" s="1"/>
  <c r="H103" i="27" s="1"/>
  <c r="F98" i="27"/>
  <c r="G97" i="27"/>
  <c r="G110" i="27" s="1"/>
  <c r="I90" i="27"/>
  <c r="H90" i="27" s="1"/>
  <c r="I88" i="27"/>
  <c r="H88" i="27"/>
  <c r="H87" i="27"/>
  <c r="I87" i="27" s="1"/>
  <c r="I86" i="27"/>
  <c r="H86" i="27"/>
  <c r="H85" i="27"/>
  <c r="I89" i="27" s="1"/>
  <c r="H89" i="27" s="1"/>
  <c r="G82" i="27"/>
  <c r="E82" i="27"/>
  <c r="J81" i="27"/>
  <c r="I81" i="27"/>
  <c r="H81" i="27" s="1"/>
  <c r="F81" i="27"/>
  <c r="J80" i="27"/>
  <c r="I80" i="27"/>
  <c r="H80" i="27" s="1"/>
  <c r="F80" i="27"/>
  <c r="F79" i="27"/>
  <c r="F78" i="27"/>
  <c r="F77" i="27"/>
  <c r="F82" i="27" s="1"/>
  <c r="E76" i="27"/>
  <c r="I75" i="27"/>
  <c r="H75" i="27"/>
  <c r="I71" i="27"/>
  <c r="H71" i="27"/>
  <c r="E70" i="27"/>
  <c r="I69" i="27"/>
  <c r="H69" i="27" s="1"/>
  <c r="I66" i="27"/>
  <c r="H66" i="27" s="1"/>
  <c r="I65" i="27"/>
  <c r="H65" i="27" s="1"/>
  <c r="E64" i="27"/>
  <c r="I63" i="27"/>
  <c r="I60" i="27"/>
  <c r="H60" i="27"/>
  <c r="P60" i="27" s="1"/>
  <c r="G59" i="27"/>
  <c r="F59" i="27" s="1"/>
  <c r="E58" i="27"/>
  <c r="H57" i="27"/>
  <c r="I57" i="27" s="1"/>
  <c r="J57" i="27" s="1"/>
  <c r="I56" i="27"/>
  <c r="H56" i="27"/>
  <c r="H55" i="27"/>
  <c r="I55" i="27" s="1"/>
  <c r="E54" i="27"/>
  <c r="I53" i="27"/>
  <c r="H53" i="27"/>
  <c r="F53" i="27"/>
  <c r="F57" i="27" s="1"/>
  <c r="G57" i="27" s="1"/>
  <c r="H52" i="27"/>
  <c r="I52" i="27" s="1"/>
  <c r="F52" i="27"/>
  <c r="F56" i="27" s="1"/>
  <c r="G56" i="27" s="1"/>
  <c r="H51" i="27"/>
  <c r="I51" i="27" s="1"/>
  <c r="S43" i="27"/>
  <c r="S42" i="27"/>
  <c r="R42" i="27"/>
  <c r="Q42" i="27"/>
  <c r="P42" i="27"/>
  <c r="O42" i="27"/>
  <c r="M42" i="27"/>
  <c r="J42" i="27"/>
  <c r="I42" i="27"/>
  <c r="H42" i="27"/>
  <c r="D42" i="27"/>
  <c r="N43" i="27"/>
  <c r="G43" i="27"/>
  <c r="E43" i="27"/>
  <c r="O36" i="27"/>
  <c r="R35" i="27"/>
  <c r="M35" i="27"/>
  <c r="J35" i="27"/>
  <c r="I35" i="27"/>
  <c r="H35" i="27"/>
  <c r="G35" i="27"/>
  <c r="D35" i="27"/>
  <c r="Q35" i="27"/>
  <c r="Q36" i="27"/>
  <c r="P35" i="27"/>
  <c r="O35" i="27"/>
  <c r="N36" i="27"/>
  <c r="E35" i="27"/>
  <c r="D29" i="27"/>
  <c r="S28" i="27"/>
  <c r="R28" i="27"/>
  <c r="Q28" i="27"/>
  <c r="O28" i="27"/>
  <c r="M28" i="27"/>
  <c r="J28" i="27"/>
  <c r="I28" i="27"/>
  <c r="H28" i="27"/>
  <c r="G28" i="27"/>
  <c r="D28" i="27"/>
  <c r="P29" i="27"/>
  <c r="S29" i="27" s="1"/>
  <c r="N28" i="27"/>
  <c r="E29" i="27"/>
  <c r="J29" i="27" s="1"/>
  <c r="P22" i="27"/>
  <c r="R21" i="27"/>
  <c r="I21" i="27"/>
  <c r="H21" i="27"/>
  <c r="G21" i="27"/>
  <c r="S20" i="27"/>
  <c r="S19" i="27"/>
  <c r="S18" i="27"/>
  <c r="Q21" i="27"/>
  <c r="P21" i="27"/>
  <c r="O22" i="27"/>
  <c r="N22" i="27"/>
  <c r="M21" i="27"/>
  <c r="E22" i="27"/>
  <c r="J22" i="27" s="1"/>
  <c r="D22" i="27"/>
  <c r="S14" i="27"/>
  <c r="R14" i="27"/>
  <c r="P14" i="27"/>
  <c r="O14" i="27"/>
  <c r="M14" i="27"/>
  <c r="H14" i="27"/>
  <c r="G14" i="27"/>
  <c r="Q15" i="27"/>
  <c r="N15" i="27"/>
  <c r="G15" i="27"/>
  <c r="E14" i="27"/>
  <c r="D15" i="27"/>
  <c r="J8" i="27"/>
  <c r="F81" i="20"/>
  <c r="E81" i="20"/>
  <c r="W63" i="20"/>
  <c r="V63" i="20"/>
  <c r="T63" i="20"/>
  <c r="M63" i="20"/>
  <c r="L63" i="20"/>
  <c r="K63" i="20"/>
  <c r="J63" i="20"/>
  <c r="F63" i="20"/>
  <c r="E63" i="20"/>
  <c r="C63" i="20"/>
  <c r="U62" i="20"/>
  <c r="D62" i="20"/>
  <c r="U61" i="20"/>
  <c r="D61" i="20"/>
  <c r="U60" i="20"/>
  <c r="D60" i="20"/>
  <c r="U59" i="20"/>
  <c r="D59" i="20"/>
  <c r="U58" i="20"/>
  <c r="D58" i="20"/>
  <c r="U57" i="20"/>
  <c r="D57" i="20"/>
  <c r="U56" i="20"/>
  <c r="D56" i="20"/>
  <c r="U55" i="20"/>
  <c r="D55" i="20"/>
  <c r="U54" i="20"/>
  <c r="D54" i="20"/>
  <c r="U53" i="20"/>
  <c r="D53" i="20"/>
  <c r="U52" i="20"/>
  <c r="D52" i="20"/>
  <c r="U51" i="20"/>
  <c r="U63" i="20" s="1"/>
  <c r="D51" i="20"/>
  <c r="D63" i="20" s="1"/>
  <c r="Z45" i="20"/>
  <c r="Y45" i="20"/>
  <c r="W45" i="20"/>
  <c r="V45" i="20"/>
  <c r="U45" i="20"/>
  <c r="T45" i="20"/>
  <c r="O45" i="20"/>
  <c r="N45" i="20"/>
  <c r="L45" i="20" s="1"/>
  <c r="K45" i="20"/>
  <c r="J45" i="20"/>
  <c r="F45" i="20"/>
  <c r="E45" i="20"/>
  <c r="D45" i="20"/>
  <c r="C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45" i="20" s="1"/>
  <c r="D27" i="20"/>
  <c r="C27" i="20"/>
  <c r="E27" i="20" s="1"/>
  <c r="E26" i="20"/>
  <c r="E25" i="20"/>
  <c r="E24" i="20"/>
  <c r="S21" i="20"/>
  <c r="F21" i="20"/>
  <c r="W20" i="20"/>
  <c r="H20" i="20"/>
  <c r="U19" i="20"/>
  <c r="L19" i="20"/>
  <c r="F19" i="20"/>
  <c r="W17" i="20"/>
  <c r="V17" i="20"/>
  <c r="V21" i="20" s="1"/>
  <c r="U17" i="20"/>
  <c r="U21" i="20" s="1"/>
  <c r="T17" i="20"/>
  <c r="T21" i="20" s="1"/>
  <c r="S17" i="20"/>
  <c r="S19" i="20" s="1"/>
  <c r="N17" i="20"/>
  <c r="L17" i="20" s="1"/>
  <c r="M17" i="20"/>
  <c r="K17" i="20"/>
  <c r="K21" i="20" s="1"/>
  <c r="J17" i="20"/>
  <c r="J21" i="20" s="1"/>
  <c r="G17" i="20"/>
  <c r="F17" i="20"/>
  <c r="D17" i="20"/>
  <c r="D19" i="20" s="1"/>
  <c r="C17" i="20"/>
  <c r="C19" i="20" s="1"/>
  <c r="E19" i="20" s="1"/>
  <c r="E17" i="20" s="1"/>
  <c r="E21" i="20" s="1"/>
  <c r="E128" i="15"/>
  <c r="H127" i="15"/>
  <c r="I127" i="15" s="1"/>
  <c r="J127" i="15" s="1"/>
  <c r="F127" i="15"/>
  <c r="G127" i="15" s="1"/>
  <c r="F126" i="15"/>
  <c r="G126" i="15" s="1"/>
  <c r="J125" i="15"/>
  <c r="I125" i="15"/>
  <c r="H125" i="15" s="1"/>
  <c r="G125" i="15"/>
  <c r="F125" i="15"/>
  <c r="I118" i="15"/>
  <c r="H118" i="15"/>
  <c r="I117" i="15"/>
  <c r="H117" i="15" s="1"/>
  <c r="I116" i="15"/>
  <c r="I115" i="15"/>
  <c r="I114" i="15"/>
  <c r="I113" i="15"/>
  <c r="I110" i="15"/>
  <c r="J110" i="15" s="1"/>
  <c r="G109" i="15"/>
  <c r="I106" i="15"/>
  <c r="G105" i="15"/>
  <c r="I104" i="15"/>
  <c r="H104" i="15" s="1"/>
  <c r="I103" i="15"/>
  <c r="H103" i="15"/>
  <c r="I102" i="15"/>
  <c r="I101" i="15"/>
  <c r="I100" i="15"/>
  <c r="I99" i="15"/>
  <c r="I98" i="15"/>
  <c r="I107" i="15" s="1"/>
  <c r="G98" i="15"/>
  <c r="F98" i="15" s="1"/>
  <c r="G97" i="15"/>
  <c r="G110" i="15" s="1"/>
  <c r="I90" i="15"/>
  <c r="I89" i="15"/>
  <c r="I88" i="15"/>
  <c r="I87" i="15"/>
  <c r="I86" i="15"/>
  <c r="I85" i="15"/>
  <c r="E82" i="15"/>
  <c r="I81" i="15"/>
  <c r="H81" i="15" s="1"/>
  <c r="I80" i="15"/>
  <c r="H80" i="15" s="1"/>
  <c r="H79" i="15"/>
  <c r="I79" i="15" s="1"/>
  <c r="J79" i="15" s="1"/>
  <c r="E76" i="15"/>
  <c r="I75" i="15"/>
  <c r="J75" i="15" s="1"/>
  <c r="H75" i="15"/>
  <c r="G75" i="15"/>
  <c r="F75" i="15" s="1"/>
  <c r="G74" i="15"/>
  <c r="F74" i="15" s="1"/>
  <c r="I73" i="15"/>
  <c r="H73" i="15"/>
  <c r="I71" i="15"/>
  <c r="H71" i="15"/>
  <c r="G71" i="15"/>
  <c r="J71" i="15" s="1"/>
  <c r="E70" i="15"/>
  <c r="I69" i="15"/>
  <c r="H69" i="15" s="1"/>
  <c r="G69" i="15"/>
  <c r="J69" i="15" s="1"/>
  <c r="G68" i="15"/>
  <c r="F68" i="15" s="1"/>
  <c r="I67" i="15"/>
  <c r="H67" i="15"/>
  <c r="I65" i="15"/>
  <c r="H65" i="15" s="1"/>
  <c r="G65" i="15"/>
  <c r="J65" i="15" s="1"/>
  <c r="E64" i="15"/>
  <c r="I63" i="15"/>
  <c r="J63" i="15" s="1"/>
  <c r="H63" i="15"/>
  <c r="P63" i="15" s="1"/>
  <c r="G63" i="15"/>
  <c r="G81" i="15" s="1"/>
  <c r="F81" i="15" s="1"/>
  <c r="F63" i="15"/>
  <c r="O63" i="15" s="1"/>
  <c r="G62" i="15"/>
  <c r="F62" i="15" s="1"/>
  <c r="O62" i="15" s="1"/>
  <c r="H61" i="15"/>
  <c r="I61" i="15" s="1"/>
  <c r="F61" i="15"/>
  <c r="F67" i="15" s="1"/>
  <c r="G67" i="15" s="1"/>
  <c r="G79" i="15" s="1"/>
  <c r="F79" i="15" s="1"/>
  <c r="G59" i="15"/>
  <c r="E58" i="15"/>
  <c r="I57" i="15"/>
  <c r="J57" i="15" s="1"/>
  <c r="H57" i="15"/>
  <c r="F57" i="15"/>
  <c r="G57" i="15" s="1"/>
  <c r="H56" i="15"/>
  <c r="I56" i="15" s="1"/>
  <c r="J56" i="15" s="1"/>
  <c r="F56" i="15"/>
  <c r="G56" i="15" s="1"/>
  <c r="H55" i="15"/>
  <c r="I55" i="15" s="1"/>
  <c r="E54" i="15"/>
  <c r="H53" i="15"/>
  <c r="I53" i="15" s="1"/>
  <c r="F53" i="15"/>
  <c r="G53" i="15" s="1"/>
  <c r="H52" i="15"/>
  <c r="I52" i="15" s="1"/>
  <c r="G52" i="15"/>
  <c r="F52" i="15"/>
  <c r="H51" i="15"/>
  <c r="I51" i="15" s="1"/>
  <c r="I50" i="15"/>
  <c r="H50" i="15"/>
  <c r="S43" i="15"/>
  <c r="S42" i="15"/>
  <c r="R42" i="15"/>
  <c r="Q42" i="15"/>
  <c r="P42" i="15"/>
  <c r="O42" i="15"/>
  <c r="M42" i="15"/>
  <c r="J42" i="15"/>
  <c r="I42" i="15"/>
  <c r="H42" i="15"/>
  <c r="F42" i="15"/>
  <c r="D42" i="15"/>
  <c r="N41" i="15"/>
  <c r="G41" i="15"/>
  <c r="E41" i="15"/>
  <c r="N40" i="15"/>
  <c r="G40" i="15"/>
  <c r="E40" i="15"/>
  <c r="N39" i="15"/>
  <c r="N43" i="15" s="1"/>
  <c r="G39" i="15"/>
  <c r="G43" i="15" s="1"/>
  <c r="E39" i="15"/>
  <c r="E43" i="15" s="1"/>
  <c r="R35" i="15"/>
  <c r="M35" i="15"/>
  <c r="J35" i="15"/>
  <c r="I35" i="15"/>
  <c r="H35" i="15"/>
  <c r="G35" i="15"/>
  <c r="F35" i="15"/>
  <c r="D35" i="15"/>
  <c r="Q34" i="15"/>
  <c r="P34" i="15"/>
  <c r="O34" i="15"/>
  <c r="N34" i="15"/>
  <c r="E34" i="15"/>
  <c r="Q33" i="15"/>
  <c r="P33" i="15"/>
  <c r="O33" i="15"/>
  <c r="N33" i="15"/>
  <c r="E33" i="15"/>
  <c r="Q32" i="15"/>
  <c r="Q35" i="15" s="1"/>
  <c r="P32" i="15"/>
  <c r="P36" i="15" s="1"/>
  <c r="S36" i="15" s="1"/>
  <c r="O32" i="15"/>
  <c r="O36" i="15" s="1"/>
  <c r="N32" i="15"/>
  <c r="N35" i="15" s="1"/>
  <c r="E32" i="15"/>
  <c r="E36" i="15" s="1"/>
  <c r="D29" i="15"/>
  <c r="S28" i="15"/>
  <c r="R28" i="15"/>
  <c r="Q28" i="15"/>
  <c r="O28" i="15"/>
  <c r="M28" i="15"/>
  <c r="J28" i="15"/>
  <c r="I28" i="15"/>
  <c r="H28" i="15"/>
  <c r="G28" i="15"/>
  <c r="F28" i="15"/>
  <c r="D28" i="15"/>
  <c r="P27" i="15"/>
  <c r="N27" i="15"/>
  <c r="E27" i="15"/>
  <c r="N26" i="15"/>
  <c r="E26" i="15"/>
  <c r="N25" i="15"/>
  <c r="N29" i="15" s="1"/>
  <c r="E25" i="15"/>
  <c r="E29" i="15" s="1"/>
  <c r="J29" i="15" s="1"/>
  <c r="R21" i="15"/>
  <c r="I21" i="15"/>
  <c r="H21" i="15"/>
  <c r="G21" i="15"/>
  <c r="F21" i="15"/>
  <c r="N20" i="15"/>
  <c r="M20" i="15"/>
  <c r="E20" i="15"/>
  <c r="D20" i="15"/>
  <c r="N19" i="15"/>
  <c r="E19" i="15"/>
  <c r="D19" i="15"/>
  <c r="Q18" i="15"/>
  <c r="O18" i="15"/>
  <c r="N18" i="15"/>
  <c r="N22" i="15" s="1"/>
  <c r="M18" i="15"/>
  <c r="E18" i="15"/>
  <c r="E22" i="15" s="1"/>
  <c r="D18" i="15"/>
  <c r="D22" i="15" s="1"/>
  <c r="S14" i="15"/>
  <c r="R14" i="15"/>
  <c r="P14" i="15"/>
  <c r="O14" i="15"/>
  <c r="M14" i="15"/>
  <c r="H14" i="15"/>
  <c r="Q13" i="15"/>
  <c r="N13" i="15"/>
  <c r="G13" i="15"/>
  <c r="F13" i="15"/>
  <c r="E13" i="15"/>
  <c r="D13" i="15"/>
  <c r="Q12" i="15"/>
  <c r="N12" i="15"/>
  <c r="G12" i="15"/>
  <c r="F12" i="15"/>
  <c r="E12" i="15"/>
  <c r="D12" i="15"/>
  <c r="Q11" i="15"/>
  <c r="Q15" i="15" s="1"/>
  <c r="N11" i="15"/>
  <c r="N14" i="15" s="1"/>
  <c r="G11" i="15"/>
  <c r="G14" i="15" s="1"/>
  <c r="F11" i="15"/>
  <c r="F15" i="15" s="1"/>
  <c r="E11" i="15"/>
  <c r="E15" i="15" s="1"/>
  <c r="E130" i="21"/>
  <c r="H129" i="21"/>
  <c r="I129" i="21" s="1"/>
  <c r="J129" i="21" s="1"/>
  <c r="G129" i="21"/>
  <c r="F129" i="21"/>
  <c r="F128" i="21"/>
  <c r="G128" i="21" s="1"/>
  <c r="I127" i="21"/>
  <c r="J127" i="21" s="1"/>
  <c r="G127" i="21"/>
  <c r="F127" i="21"/>
  <c r="I120" i="21"/>
  <c r="H120" i="21" s="1"/>
  <c r="I119" i="21"/>
  <c r="H119" i="21" s="1"/>
  <c r="I118" i="21"/>
  <c r="I117" i="21"/>
  <c r="I116" i="21"/>
  <c r="I115" i="21"/>
  <c r="I106" i="21"/>
  <c r="H106" i="21" s="1"/>
  <c r="I105" i="21"/>
  <c r="H105" i="21" s="1"/>
  <c r="I104" i="21"/>
  <c r="I103" i="21"/>
  <c r="I102" i="21"/>
  <c r="I101" i="21"/>
  <c r="J100" i="21"/>
  <c r="I100" i="21"/>
  <c r="I110" i="21" s="1"/>
  <c r="H100" i="21"/>
  <c r="G100" i="21"/>
  <c r="F100" i="21"/>
  <c r="G99" i="21"/>
  <c r="G109" i="21" s="1"/>
  <c r="I92" i="21"/>
  <c r="I91" i="21"/>
  <c r="I90" i="21"/>
  <c r="I89" i="21"/>
  <c r="I88" i="21"/>
  <c r="I87" i="21"/>
  <c r="E84" i="21"/>
  <c r="I83" i="21"/>
  <c r="J83" i="21" s="1"/>
  <c r="H83" i="21"/>
  <c r="I82" i="21"/>
  <c r="H82" i="21" s="1"/>
  <c r="I81" i="21"/>
  <c r="H81" i="21"/>
  <c r="E78" i="21"/>
  <c r="I77" i="21"/>
  <c r="J77" i="21" s="1"/>
  <c r="H77" i="21"/>
  <c r="G77" i="21"/>
  <c r="F77" i="21" s="1"/>
  <c r="G76" i="21"/>
  <c r="F76" i="21" s="1"/>
  <c r="H75" i="21"/>
  <c r="I75" i="21" s="1"/>
  <c r="I73" i="21"/>
  <c r="H73" i="21"/>
  <c r="G73" i="21"/>
  <c r="J73" i="21" s="1"/>
  <c r="F73" i="21"/>
  <c r="E72" i="21"/>
  <c r="I71" i="21"/>
  <c r="H71" i="21" s="1"/>
  <c r="G71" i="21"/>
  <c r="F71" i="21" s="1"/>
  <c r="G70" i="21"/>
  <c r="F70" i="21" s="1"/>
  <c r="I69" i="21"/>
  <c r="J69" i="21" s="1"/>
  <c r="H69" i="21"/>
  <c r="I67" i="21"/>
  <c r="H67" i="21" s="1"/>
  <c r="G67" i="21"/>
  <c r="G79" i="21" s="1"/>
  <c r="E66" i="21"/>
  <c r="I65" i="21"/>
  <c r="J65" i="21" s="1"/>
  <c r="G65" i="21"/>
  <c r="G83" i="21" s="1"/>
  <c r="F83" i="21" s="1"/>
  <c r="F65" i="21"/>
  <c r="O65" i="21" s="1"/>
  <c r="G64" i="21"/>
  <c r="F64" i="21" s="1"/>
  <c r="O64" i="21" s="1"/>
  <c r="H63" i="21"/>
  <c r="P63" i="21" s="1"/>
  <c r="F63" i="21"/>
  <c r="F69" i="21" s="1"/>
  <c r="G69" i="21" s="1"/>
  <c r="G81" i="21" s="1"/>
  <c r="F81" i="21" s="1"/>
  <c r="G61" i="21"/>
  <c r="F61" i="21" s="1"/>
  <c r="E60" i="21"/>
  <c r="H59" i="21"/>
  <c r="I59" i="21" s="1"/>
  <c r="J59" i="21" s="1"/>
  <c r="G59" i="21"/>
  <c r="F59" i="21"/>
  <c r="H58" i="21"/>
  <c r="I58" i="21" s="1"/>
  <c r="F58" i="21"/>
  <c r="G58" i="21" s="1"/>
  <c r="I57" i="21"/>
  <c r="H57" i="21"/>
  <c r="H60" i="21" s="1"/>
  <c r="E56" i="21"/>
  <c r="H55" i="21"/>
  <c r="I55" i="21" s="1"/>
  <c r="G55" i="21"/>
  <c r="F55" i="21"/>
  <c r="I54" i="21"/>
  <c r="H54" i="21"/>
  <c r="F54" i="21"/>
  <c r="G54" i="21" s="1"/>
  <c r="I53" i="21"/>
  <c r="H53" i="21"/>
  <c r="H56" i="21" s="1"/>
  <c r="H52" i="21"/>
  <c r="I52" i="21" s="1"/>
  <c r="S45" i="21"/>
  <c r="S44" i="21"/>
  <c r="R44" i="21"/>
  <c r="Q44" i="21"/>
  <c r="P44" i="21"/>
  <c r="O44" i="21"/>
  <c r="M44" i="21"/>
  <c r="J44" i="21"/>
  <c r="I44" i="21"/>
  <c r="H44" i="21"/>
  <c r="F44" i="21"/>
  <c r="D44" i="21"/>
  <c r="N43" i="21"/>
  <c r="G43" i="21"/>
  <c r="E43" i="21"/>
  <c r="N42" i="21"/>
  <c r="G42" i="21"/>
  <c r="E42" i="21"/>
  <c r="N41" i="21"/>
  <c r="N45" i="21" s="1"/>
  <c r="G41" i="21"/>
  <c r="G45" i="21" s="1"/>
  <c r="E41" i="21"/>
  <c r="E45" i="21" s="1"/>
  <c r="R37" i="21"/>
  <c r="M37" i="21"/>
  <c r="J37" i="21"/>
  <c r="I37" i="21"/>
  <c r="H37" i="21"/>
  <c r="G37" i="21"/>
  <c r="F37" i="21"/>
  <c r="D37" i="21"/>
  <c r="Q36" i="21"/>
  <c r="P36" i="21"/>
  <c r="O36" i="21"/>
  <c r="N36" i="21"/>
  <c r="E36" i="21"/>
  <c r="Q35" i="21"/>
  <c r="P35" i="21"/>
  <c r="O35" i="21"/>
  <c r="N35" i="21"/>
  <c r="E35" i="21"/>
  <c r="Q34" i="21"/>
  <c r="Q37" i="21" s="1"/>
  <c r="P34" i="21"/>
  <c r="P37" i="21" s="1"/>
  <c r="O34" i="21"/>
  <c r="O38" i="21" s="1"/>
  <c r="N34" i="21"/>
  <c r="N38" i="21" s="1"/>
  <c r="E34" i="21"/>
  <c r="E38" i="21" s="1"/>
  <c r="D31" i="21"/>
  <c r="S30" i="21"/>
  <c r="R30" i="21"/>
  <c r="Q30" i="21"/>
  <c r="O30" i="21"/>
  <c r="M30" i="21"/>
  <c r="J30" i="21"/>
  <c r="I30" i="21"/>
  <c r="H30" i="21"/>
  <c r="G30" i="21"/>
  <c r="F30" i="21"/>
  <c r="D30" i="21"/>
  <c r="P29" i="21"/>
  <c r="N29" i="21"/>
  <c r="E29" i="21"/>
  <c r="N28" i="21"/>
  <c r="E28" i="21"/>
  <c r="N27" i="21"/>
  <c r="N31" i="21" s="1"/>
  <c r="E27" i="21"/>
  <c r="E30" i="21" s="1"/>
  <c r="R23" i="21"/>
  <c r="I23" i="21"/>
  <c r="H23" i="21"/>
  <c r="G23" i="21"/>
  <c r="F23" i="21"/>
  <c r="N22" i="21"/>
  <c r="M22" i="21"/>
  <c r="E22" i="21"/>
  <c r="D22" i="21"/>
  <c r="N21" i="21"/>
  <c r="M21" i="21"/>
  <c r="E21" i="21"/>
  <c r="D21" i="21"/>
  <c r="Q20" i="21"/>
  <c r="O20" i="21"/>
  <c r="N20" i="21"/>
  <c r="N24" i="21" s="1"/>
  <c r="M20" i="21"/>
  <c r="M24" i="21" s="1"/>
  <c r="E20" i="21"/>
  <c r="E23" i="21" s="1"/>
  <c r="D20" i="21"/>
  <c r="D24" i="21" s="1"/>
  <c r="S14" i="21"/>
  <c r="R14" i="21"/>
  <c r="P14" i="21"/>
  <c r="O14" i="21"/>
  <c r="M14" i="21"/>
  <c r="Q13" i="21"/>
  <c r="N13" i="21"/>
  <c r="G13" i="21"/>
  <c r="F13" i="21"/>
  <c r="E13" i="21"/>
  <c r="D13" i="21"/>
  <c r="Q12" i="21"/>
  <c r="N12" i="21"/>
  <c r="G12" i="21"/>
  <c r="F12" i="21"/>
  <c r="E12" i="21"/>
  <c r="D12" i="21"/>
  <c r="Q11" i="21"/>
  <c r="Q14" i="21" s="1"/>
  <c r="N11" i="21"/>
  <c r="N17" i="21" s="1"/>
  <c r="G11" i="21"/>
  <c r="G14" i="21" s="1"/>
  <c r="F11" i="21"/>
  <c r="F14" i="21" s="1"/>
  <c r="E11" i="21"/>
  <c r="E17" i="21" s="1"/>
  <c r="E128" i="19"/>
  <c r="H127" i="19"/>
  <c r="I127" i="19" s="1"/>
  <c r="J127" i="19" s="1"/>
  <c r="G127" i="19"/>
  <c r="F127" i="19"/>
  <c r="H126" i="19"/>
  <c r="I126" i="19" s="1"/>
  <c r="J126" i="19" s="1"/>
  <c r="G126" i="19"/>
  <c r="F126" i="19"/>
  <c r="I125" i="19"/>
  <c r="H125" i="19" s="1"/>
  <c r="G125" i="19"/>
  <c r="F125" i="19"/>
  <c r="I118" i="19"/>
  <c r="H118" i="19" s="1"/>
  <c r="I117" i="19"/>
  <c r="H117" i="19" s="1"/>
  <c r="I116" i="19"/>
  <c r="I115" i="19"/>
  <c r="I114" i="19"/>
  <c r="I113" i="19"/>
  <c r="I112" i="19"/>
  <c r="I124" i="19" s="1"/>
  <c r="H112" i="19"/>
  <c r="F112" i="19"/>
  <c r="I104" i="19"/>
  <c r="H104" i="19" s="1"/>
  <c r="I103" i="19"/>
  <c r="H103" i="19"/>
  <c r="I102" i="19"/>
  <c r="I101" i="19"/>
  <c r="I100" i="19"/>
  <c r="I99" i="19"/>
  <c r="F98" i="19"/>
  <c r="G97" i="19"/>
  <c r="G110" i="19" s="1"/>
  <c r="I90" i="19"/>
  <c r="I89" i="19"/>
  <c r="I88" i="19"/>
  <c r="I87" i="19"/>
  <c r="I86" i="19"/>
  <c r="I85" i="19"/>
  <c r="E82" i="19"/>
  <c r="I81" i="19"/>
  <c r="H81" i="19"/>
  <c r="I80" i="19"/>
  <c r="H80" i="19" s="1"/>
  <c r="I79" i="19"/>
  <c r="H79" i="19"/>
  <c r="E76" i="19"/>
  <c r="I75" i="19"/>
  <c r="H75" i="19"/>
  <c r="G75" i="19"/>
  <c r="J75" i="19" s="1"/>
  <c r="G74" i="19"/>
  <c r="F74" i="19" s="1"/>
  <c r="H73" i="19"/>
  <c r="I73" i="19" s="1"/>
  <c r="I71" i="19"/>
  <c r="H71" i="19"/>
  <c r="G71" i="19"/>
  <c r="J71" i="19" s="1"/>
  <c r="F71" i="19"/>
  <c r="E70" i="19"/>
  <c r="I69" i="19"/>
  <c r="H69" i="19" s="1"/>
  <c r="G69" i="19"/>
  <c r="F69" i="19" s="1"/>
  <c r="G68" i="19"/>
  <c r="F68" i="19" s="1"/>
  <c r="H67" i="19"/>
  <c r="I67" i="19" s="1"/>
  <c r="I65" i="19"/>
  <c r="H65" i="19"/>
  <c r="G65" i="19"/>
  <c r="G77" i="19" s="1"/>
  <c r="E64" i="19"/>
  <c r="I63" i="19"/>
  <c r="J63" i="19" s="1"/>
  <c r="G63" i="19"/>
  <c r="G81" i="19" s="1"/>
  <c r="F81" i="19" s="1"/>
  <c r="F63" i="19"/>
  <c r="O63" i="19" s="1"/>
  <c r="G62" i="19"/>
  <c r="F62" i="19" s="1"/>
  <c r="O62" i="19" s="1"/>
  <c r="H61" i="19"/>
  <c r="P61" i="19" s="1"/>
  <c r="F61" i="19"/>
  <c r="F67" i="19" s="1"/>
  <c r="G67" i="19" s="1"/>
  <c r="G79" i="19" s="1"/>
  <c r="F79" i="19" s="1"/>
  <c r="G59" i="19"/>
  <c r="F59" i="19" s="1"/>
  <c r="E58" i="19"/>
  <c r="H57" i="19"/>
  <c r="I57" i="19" s="1"/>
  <c r="F57" i="19"/>
  <c r="G57" i="19" s="1"/>
  <c r="H56" i="19"/>
  <c r="I56" i="19" s="1"/>
  <c r="J56" i="19" s="1"/>
  <c r="F56" i="19"/>
  <c r="G56" i="19" s="1"/>
  <c r="H55" i="19"/>
  <c r="I55" i="19" s="1"/>
  <c r="E54" i="19"/>
  <c r="H53" i="19"/>
  <c r="I53" i="19" s="1"/>
  <c r="F53" i="19"/>
  <c r="G53" i="19" s="1"/>
  <c r="H52" i="19"/>
  <c r="I52" i="19" s="1"/>
  <c r="F52" i="19"/>
  <c r="G52" i="19" s="1"/>
  <c r="H51" i="19"/>
  <c r="I51" i="19" s="1"/>
  <c r="H50" i="19"/>
  <c r="I50" i="19" s="1"/>
  <c r="S43" i="19"/>
  <c r="S42" i="19"/>
  <c r="R42" i="19"/>
  <c r="Q42" i="19"/>
  <c r="P42" i="19"/>
  <c r="O42" i="19"/>
  <c r="M42" i="19"/>
  <c r="J42" i="19"/>
  <c r="I42" i="19"/>
  <c r="H42" i="19"/>
  <c r="F42" i="19"/>
  <c r="D42" i="19"/>
  <c r="N41" i="19"/>
  <c r="G41" i="19"/>
  <c r="E41" i="19"/>
  <c r="N40" i="19"/>
  <c r="G40" i="19"/>
  <c r="E40" i="19"/>
  <c r="N39" i="19"/>
  <c r="N43" i="19" s="1"/>
  <c r="G39" i="19"/>
  <c r="G43" i="19" s="1"/>
  <c r="E39" i="19"/>
  <c r="E43" i="19" s="1"/>
  <c r="R35" i="19"/>
  <c r="M35" i="19"/>
  <c r="J35" i="19"/>
  <c r="I35" i="19"/>
  <c r="H35" i="19"/>
  <c r="G35" i="19"/>
  <c r="F35" i="19"/>
  <c r="D35" i="19"/>
  <c r="Q34" i="19"/>
  <c r="P34" i="19"/>
  <c r="O34" i="19"/>
  <c r="N34" i="19"/>
  <c r="E34" i="19"/>
  <c r="Q33" i="19"/>
  <c r="P33" i="19"/>
  <c r="O33" i="19"/>
  <c r="N33" i="19"/>
  <c r="E33" i="19"/>
  <c r="Q32" i="19"/>
  <c r="Q35" i="19" s="1"/>
  <c r="P32" i="19"/>
  <c r="P35" i="19" s="1"/>
  <c r="O32" i="19"/>
  <c r="O36" i="19" s="1"/>
  <c r="N32" i="19"/>
  <c r="N36" i="19" s="1"/>
  <c r="E32" i="19"/>
  <c r="E36" i="19" s="1"/>
  <c r="D29" i="19"/>
  <c r="S28" i="19"/>
  <c r="R28" i="19"/>
  <c r="Q28" i="19"/>
  <c r="O28" i="19"/>
  <c r="M28" i="19"/>
  <c r="J28" i="19"/>
  <c r="I28" i="19"/>
  <c r="H28" i="19"/>
  <c r="G28" i="19"/>
  <c r="F28" i="19"/>
  <c r="D28" i="19"/>
  <c r="P27" i="19"/>
  <c r="N27" i="19"/>
  <c r="E27" i="19"/>
  <c r="N26" i="19"/>
  <c r="E26" i="19"/>
  <c r="N25" i="19"/>
  <c r="N29" i="19" s="1"/>
  <c r="E25" i="19"/>
  <c r="E28" i="19" s="1"/>
  <c r="R21" i="19"/>
  <c r="I21" i="19"/>
  <c r="H21" i="19"/>
  <c r="G21" i="19"/>
  <c r="F21" i="19"/>
  <c r="N20" i="19"/>
  <c r="M20" i="19"/>
  <c r="E20" i="19"/>
  <c r="D20" i="19"/>
  <c r="N19" i="19"/>
  <c r="E19" i="19"/>
  <c r="D19" i="19"/>
  <c r="Q18" i="19"/>
  <c r="O18" i="19"/>
  <c r="N18" i="19"/>
  <c r="N22" i="19" s="1"/>
  <c r="M18" i="19"/>
  <c r="E18" i="19"/>
  <c r="E21" i="19" s="1"/>
  <c r="D18" i="19"/>
  <c r="D22" i="19" s="1"/>
  <c r="S14" i="19"/>
  <c r="R14" i="19"/>
  <c r="P14" i="19"/>
  <c r="O14" i="19"/>
  <c r="M14" i="19"/>
  <c r="H14" i="19"/>
  <c r="Q13" i="19"/>
  <c r="N13" i="19"/>
  <c r="G13" i="19"/>
  <c r="F13" i="19"/>
  <c r="E13" i="19"/>
  <c r="D13" i="19"/>
  <c r="Q12" i="19"/>
  <c r="N12" i="19"/>
  <c r="G12" i="19"/>
  <c r="F12" i="19"/>
  <c r="E12" i="19"/>
  <c r="D12" i="19"/>
  <c r="Q11" i="19"/>
  <c r="Q14" i="19" s="1"/>
  <c r="N11" i="19"/>
  <c r="N15" i="19" s="1"/>
  <c r="G11" i="19"/>
  <c r="G14" i="19" s="1"/>
  <c r="F11" i="19"/>
  <c r="F14" i="19" s="1"/>
  <c r="E11" i="19"/>
  <c r="E15" i="19" s="1"/>
  <c r="C152" i="26" l="1"/>
  <c r="F82" i="26"/>
  <c r="T73" i="17"/>
  <c r="T76" i="17" s="1"/>
  <c r="U76" i="17" s="1"/>
  <c r="J67" i="19"/>
  <c r="J79" i="19"/>
  <c r="I54" i="19"/>
  <c r="J188" i="19"/>
  <c r="J53" i="19"/>
  <c r="O59" i="19"/>
  <c r="F77" i="19"/>
  <c r="J52" i="19"/>
  <c r="I58" i="19"/>
  <c r="J57" i="19"/>
  <c r="J81" i="19"/>
  <c r="N14" i="19"/>
  <c r="F15" i="19"/>
  <c r="Q15" i="19"/>
  <c r="E22" i="19"/>
  <c r="J22" i="19" s="1"/>
  <c r="E29" i="19"/>
  <c r="J29" i="19" s="1"/>
  <c r="N35" i="19"/>
  <c r="P36" i="19"/>
  <c r="S36" i="19" s="1"/>
  <c r="N42" i="19"/>
  <c r="I61" i="19"/>
  <c r="F65" i="19"/>
  <c r="J65" i="19"/>
  <c r="J69" i="19"/>
  <c r="G105" i="19"/>
  <c r="G109" i="19"/>
  <c r="I119" i="19"/>
  <c r="E188" i="19" s="1"/>
  <c r="I123" i="19"/>
  <c r="J58" i="21"/>
  <c r="J81" i="21"/>
  <c r="J53" i="15"/>
  <c r="E14" i="19"/>
  <c r="G15" i="19"/>
  <c r="D21" i="19"/>
  <c r="J21" i="19" s="1"/>
  <c r="N21" i="19"/>
  <c r="N28" i="19"/>
  <c r="E35" i="19"/>
  <c r="O35" i="19"/>
  <c r="Q36" i="19"/>
  <c r="E42" i="19"/>
  <c r="H54" i="19"/>
  <c r="H63" i="19"/>
  <c r="P63" i="19" s="1"/>
  <c r="F73" i="19"/>
  <c r="G73" i="19" s="1"/>
  <c r="J73" i="19" s="1"/>
  <c r="J80" i="19"/>
  <c r="G108" i="19"/>
  <c r="I122" i="19"/>
  <c r="H188" i="19" s="1"/>
  <c r="J125" i="19"/>
  <c r="P4" i="21"/>
  <c r="I56" i="21"/>
  <c r="O61" i="21"/>
  <c r="F79" i="21"/>
  <c r="J22" i="15"/>
  <c r="J67" i="15"/>
  <c r="H58" i="19"/>
  <c r="G61" i="19"/>
  <c r="O61" i="19"/>
  <c r="G80" i="19"/>
  <c r="F80" i="19" s="1"/>
  <c r="G107" i="19"/>
  <c r="J112" i="19"/>
  <c r="I121" i="19"/>
  <c r="I60" i="21"/>
  <c r="J52" i="15"/>
  <c r="I58" i="15"/>
  <c r="G42" i="19"/>
  <c r="F75" i="19"/>
  <c r="F97" i="19"/>
  <c r="G106" i="19"/>
  <c r="I120" i="19"/>
  <c r="J55" i="21"/>
  <c r="I54" i="15"/>
  <c r="E14" i="21"/>
  <c r="F17" i="21"/>
  <c r="Q17" i="21"/>
  <c r="M23" i="21"/>
  <c r="E24" i="21"/>
  <c r="J24" i="21" s="1"/>
  <c r="E31" i="21"/>
  <c r="J31" i="21" s="1"/>
  <c r="N37" i="21"/>
  <c r="P38" i="21"/>
  <c r="S38" i="21" s="1"/>
  <c r="N44" i="21"/>
  <c r="J54" i="21"/>
  <c r="I63" i="21"/>
  <c r="F67" i="21"/>
  <c r="J67" i="21"/>
  <c r="J71" i="21"/>
  <c r="G108" i="21"/>
  <c r="I109" i="21"/>
  <c r="J109" i="21" s="1"/>
  <c r="G112" i="21"/>
  <c r="E14" i="15"/>
  <c r="G15" i="15"/>
  <c r="D21" i="15"/>
  <c r="N21" i="15"/>
  <c r="N28" i="15"/>
  <c r="E35" i="15"/>
  <c r="O35" i="15"/>
  <c r="Q36" i="15"/>
  <c r="E42" i="15"/>
  <c r="H54" i="15"/>
  <c r="F73" i="15"/>
  <c r="G73" i="15" s="1"/>
  <c r="J73" i="15" s="1"/>
  <c r="J15" i="27"/>
  <c r="I54" i="27"/>
  <c r="O59" i="27"/>
  <c r="G17" i="21"/>
  <c r="D23" i="21"/>
  <c r="J23" i="21" s="1"/>
  <c r="N23" i="21"/>
  <c r="N30" i="21"/>
  <c r="E37" i="21"/>
  <c r="O37" i="21"/>
  <c r="Q38" i="21"/>
  <c r="E44" i="21"/>
  <c r="H65" i="21"/>
  <c r="P65" i="21" s="1"/>
  <c r="F75" i="21"/>
  <c r="G75" i="21" s="1"/>
  <c r="J75" i="21" s="1"/>
  <c r="G107" i="21"/>
  <c r="I108" i="21"/>
  <c r="J108" i="21" s="1"/>
  <c r="G111" i="21"/>
  <c r="I112" i="21"/>
  <c r="J112" i="21" s="1"/>
  <c r="H127" i="21"/>
  <c r="F14" i="15"/>
  <c r="E21" i="15"/>
  <c r="J21" i="15" s="1"/>
  <c r="E28" i="15"/>
  <c r="P35" i="15"/>
  <c r="N36" i="15"/>
  <c r="H58" i="15"/>
  <c r="F59" i="15"/>
  <c r="G61" i="15"/>
  <c r="O61" i="15"/>
  <c r="G80" i="15"/>
  <c r="J81" i="15"/>
  <c r="H98" i="15"/>
  <c r="I105" i="15"/>
  <c r="J105" i="15" s="1"/>
  <c r="G108" i="15"/>
  <c r="I109" i="15"/>
  <c r="J109" i="15" s="1"/>
  <c r="S21" i="27"/>
  <c r="J56" i="27"/>
  <c r="N14" i="21"/>
  <c r="G63" i="21"/>
  <c r="O63" i="21"/>
  <c r="G82" i="21"/>
  <c r="F82" i="21" s="1"/>
  <c r="I107" i="21"/>
  <c r="J107" i="21" s="1"/>
  <c r="G110" i="21"/>
  <c r="J110" i="21" s="1"/>
  <c r="I111" i="21"/>
  <c r="J111" i="21" s="1"/>
  <c r="Q14" i="15"/>
  <c r="N15" i="15"/>
  <c r="G42" i="15"/>
  <c r="P61" i="15"/>
  <c r="F71" i="15"/>
  <c r="G77" i="15"/>
  <c r="F97" i="15"/>
  <c r="G107" i="15"/>
  <c r="J107" i="15" s="1"/>
  <c r="I108" i="15"/>
  <c r="J108" i="15" s="1"/>
  <c r="L21" i="20"/>
  <c r="L22" i="20"/>
  <c r="G44" i="21"/>
  <c r="F99" i="21"/>
  <c r="N42" i="15"/>
  <c r="F65" i="15"/>
  <c r="F69" i="15"/>
  <c r="J98" i="15"/>
  <c r="G106" i="15"/>
  <c r="J106" i="15" s="1"/>
  <c r="I58" i="27"/>
  <c r="Q14" i="27"/>
  <c r="E15" i="27"/>
  <c r="N21" i="27"/>
  <c r="N29" i="27"/>
  <c r="N42" i="27"/>
  <c r="G105" i="27"/>
  <c r="G109" i="27"/>
  <c r="N21" i="26"/>
  <c r="F56" i="26"/>
  <c r="G56" i="26" s="1"/>
  <c r="G52" i="26"/>
  <c r="H80" i="26"/>
  <c r="J80" i="26"/>
  <c r="J22" i="25"/>
  <c r="O36" i="25"/>
  <c r="O35" i="25"/>
  <c r="F57" i="25"/>
  <c r="G57" i="25" s="1"/>
  <c r="G53" i="25"/>
  <c r="D15" i="28"/>
  <c r="D14" i="28"/>
  <c r="I14" i="28" s="1"/>
  <c r="Q15" i="28"/>
  <c r="Q14" i="28"/>
  <c r="H126" i="28"/>
  <c r="H126" i="25"/>
  <c r="I126" i="25" s="1"/>
  <c r="J126" i="25" s="1"/>
  <c r="K167" i="17"/>
  <c r="I31" i="24"/>
  <c r="I32" i="24" s="1"/>
  <c r="H31" i="24"/>
  <c r="C21" i="20"/>
  <c r="U22" i="20"/>
  <c r="N14" i="27"/>
  <c r="D21" i="27"/>
  <c r="O21" i="27"/>
  <c r="M22" i="27"/>
  <c r="S22" i="27" s="1"/>
  <c r="Q22" i="27"/>
  <c r="E28" i="27"/>
  <c r="P28" i="27"/>
  <c r="N35" i="27"/>
  <c r="P36" i="27"/>
  <c r="S36" i="27" s="1"/>
  <c r="G52" i="27"/>
  <c r="J52" i="27" s="1"/>
  <c r="H54" i="27"/>
  <c r="H63" i="27"/>
  <c r="P63" i="27" s="1"/>
  <c r="G65" i="27"/>
  <c r="I99" i="27"/>
  <c r="G108" i="27"/>
  <c r="N29" i="26"/>
  <c r="P35" i="26"/>
  <c r="J56" i="26"/>
  <c r="J65" i="26"/>
  <c r="I90" i="26"/>
  <c r="H90" i="26" s="1"/>
  <c r="I86" i="26"/>
  <c r="D15" i="25"/>
  <c r="Q15" i="25"/>
  <c r="D21" i="25"/>
  <c r="J21" i="25" s="1"/>
  <c r="O21" i="25"/>
  <c r="H58" i="25"/>
  <c r="H63" i="25"/>
  <c r="P63" i="25" s="1"/>
  <c r="F71" i="25"/>
  <c r="I54" i="28"/>
  <c r="V19" i="20"/>
  <c r="T19" i="20" s="1"/>
  <c r="D21" i="20"/>
  <c r="D14" i="27"/>
  <c r="I14" i="27" s="1"/>
  <c r="E21" i="27"/>
  <c r="J21" i="27" s="1"/>
  <c r="E36" i="27"/>
  <c r="E42" i="27"/>
  <c r="G53" i="27"/>
  <c r="J53" i="27" s="1"/>
  <c r="H58" i="27"/>
  <c r="I85" i="27"/>
  <c r="G107" i="27"/>
  <c r="J15" i="26"/>
  <c r="S21" i="26"/>
  <c r="E35" i="26"/>
  <c r="E43" i="26"/>
  <c r="E42" i="26"/>
  <c r="J52" i="26"/>
  <c r="J53" i="26"/>
  <c r="I58" i="26"/>
  <c r="F65" i="26"/>
  <c r="H81" i="26"/>
  <c r="J81" i="26"/>
  <c r="E15" i="25"/>
  <c r="E35" i="25"/>
  <c r="Q35" i="25"/>
  <c r="P21" i="28"/>
  <c r="G42" i="27"/>
  <c r="F97" i="27"/>
  <c r="G106" i="27"/>
  <c r="N36" i="26"/>
  <c r="N35" i="26"/>
  <c r="Q35" i="26"/>
  <c r="G71" i="26"/>
  <c r="J71" i="26" s="1"/>
  <c r="I117" i="26"/>
  <c r="H117" i="26" s="1"/>
  <c r="I113" i="26"/>
  <c r="G15" i="25"/>
  <c r="J15" i="25" s="1"/>
  <c r="J29" i="25"/>
  <c r="N35" i="25"/>
  <c r="G43" i="25"/>
  <c r="G42" i="25"/>
  <c r="I54" i="25"/>
  <c r="J57" i="25"/>
  <c r="J81" i="25"/>
  <c r="H81" i="25"/>
  <c r="N14" i="26"/>
  <c r="O21" i="26"/>
  <c r="M22" i="26"/>
  <c r="S22" i="26" s="1"/>
  <c r="Q22" i="26"/>
  <c r="P28" i="26"/>
  <c r="P36" i="26"/>
  <c r="S36" i="26" s="1"/>
  <c r="H63" i="26"/>
  <c r="P63" i="26" s="1"/>
  <c r="H71" i="26"/>
  <c r="H75" i="26"/>
  <c r="G105" i="26"/>
  <c r="G109" i="26"/>
  <c r="H125" i="26"/>
  <c r="D14" i="25"/>
  <c r="J14" i="25" s="1"/>
  <c r="P21" i="25"/>
  <c r="S21" i="25" s="1"/>
  <c r="N22" i="25"/>
  <c r="E36" i="25"/>
  <c r="Q36" i="25"/>
  <c r="E42" i="25"/>
  <c r="H71" i="25"/>
  <c r="J71" i="25"/>
  <c r="I89" i="25"/>
  <c r="H89" i="25" s="1"/>
  <c r="I85" i="25"/>
  <c r="I107" i="25"/>
  <c r="J107" i="25" s="1"/>
  <c r="J98" i="25"/>
  <c r="H98" i="25"/>
  <c r="I108" i="25"/>
  <c r="I122" i="25"/>
  <c r="I124" i="25"/>
  <c r="I120" i="25"/>
  <c r="H112" i="25"/>
  <c r="I117" i="25"/>
  <c r="H117" i="25" s="1"/>
  <c r="I123" i="25"/>
  <c r="J125" i="25"/>
  <c r="H125" i="25"/>
  <c r="I110" i="28"/>
  <c r="J110" i="28" s="1"/>
  <c r="F200" i="27"/>
  <c r="E21" i="26"/>
  <c r="J21" i="26" s="1"/>
  <c r="I54" i="26"/>
  <c r="H58" i="26"/>
  <c r="G140" i="25"/>
  <c r="I58" i="25"/>
  <c r="J56" i="25"/>
  <c r="O59" i="25"/>
  <c r="H66" i="25"/>
  <c r="J80" i="25"/>
  <c r="H80" i="25"/>
  <c r="I90" i="25"/>
  <c r="H90" i="25" s="1"/>
  <c r="I86" i="25"/>
  <c r="I103" i="25"/>
  <c r="H103" i="25" s="1"/>
  <c r="I99" i="25"/>
  <c r="I105" i="25" s="1"/>
  <c r="G15" i="28"/>
  <c r="J15" i="28" s="1"/>
  <c r="J140" i="28"/>
  <c r="G140" i="28"/>
  <c r="I120" i="28"/>
  <c r="K114" i="28"/>
  <c r="G42" i="26"/>
  <c r="I85" i="26"/>
  <c r="Q14" i="25"/>
  <c r="S18" i="25"/>
  <c r="N42" i="25"/>
  <c r="J52" i="25"/>
  <c r="H75" i="25"/>
  <c r="F82" i="25"/>
  <c r="I104" i="25"/>
  <c r="I100" i="25"/>
  <c r="I106" i="25" s="1"/>
  <c r="I119" i="25"/>
  <c r="F140" i="25"/>
  <c r="J53" i="28"/>
  <c r="H75" i="28"/>
  <c r="G108" i="25"/>
  <c r="N14" i="28"/>
  <c r="N15" i="28"/>
  <c r="N35" i="28"/>
  <c r="E43" i="28"/>
  <c r="H54" i="28"/>
  <c r="I58" i="28"/>
  <c r="L21" i="6"/>
  <c r="O20" i="6"/>
  <c r="L22" i="6"/>
  <c r="E86" i="7"/>
  <c r="E48" i="22"/>
  <c r="N48" i="22"/>
  <c r="V93" i="22"/>
  <c r="W93" i="22" s="1"/>
  <c r="W99" i="22" s="1"/>
  <c r="H93" i="22"/>
  <c r="H99" i="22" s="1"/>
  <c r="J80" i="28"/>
  <c r="H80" i="28"/>
  <c r="F199" i="28"/>
  <c r="S72" i="22"/>
  <c r="T72" i="22" s="1"/>
  <c r="T78" i="22" s="1"/>
  <c r="G106" i="25"/>
  <c r="D255" i="25"/>
  <c r="D256" i="25" s="1"/>
  <c r="E22" i="28"/>
  <c r="J22" i="28" s="1"/>
  <c r="P22" i="28"/>
  <c r="S22" i="28" s="1"/>
  <c r="S18" i="28"/>
  <c r="E21" i="28"/>
  <c r="J21" i="28" s="1"/>
  <c r="P36" i="28"/>
  <c r="S36" i="28" s="1"/>
  <c r="P35" i="28"/>
  <c r="N43" i="28"/>
  <c r="N42" i="28"/>
  <c r="J56" i="28"/>
  <c r="H63" i="28"/>
  <c r="P63" i="28" s="1"/>
  <c r="H71" i="28"/>
  <c r="F82" i="28"/>
  <c r="I89" i="28"/>
  <c r="H89" i="28" s="1"/>
  <c r="I85" i="28"/>
  <c r="I103" i="28"/>
  <c r="I99" i="28"/>
  <c r="I105" i="28" s="1"/>
  <c r="J105" i="28" s="1"/>
  <c r="I117" i="28"/>
  <c r="H117" i="28" s="1"/>
  <c r="I113" i="28"/>
  <c r="K17" i="1"/>
  <c r="K18" i="1" s="1"/>
  <c r="K19" i="1"/>
  <c r="E73" i="1" s="1"/>
  <c r="N17" i="1"/>
  <c r="H18" i="1"/>
  <c r="D73" i="1" s="1"/>
  <c r="E18" i="22"/>
  <c r="G59" i="28"/>
  <c r="M21" i="28"/>
  <c r="Q21" i="28"/>
  <c r="G42" i="28"/>
  <c r="W61" i="7"/>
  <c r="F82" i="7" s="1"/>
  <c r="H32" i="22"/>
  <c r="K32" i="22"/>
  <c r="Z32" i="22"/>
  <c r="G14" i="28"/>
  <c r="J14" i="28" s="1"/>
  <c r="I108" i="28"/>
  <c r="J108" i="28" s="1"/>
  <c r="I123" i="28"/>
  <c r="I121" i="28"/>
  <c r="I119" i="28"/>
  <c r="T24" i="6"/>
  <c r="T21" i="6"/>
  <c r="I24" i="6"/>
  <c r="I25" i="6" s="1"/>
  <c r="D63" i="6"/>
  <c r="E16" i="1"/>
  <c r="T16" i="1"/>
  <c r="Z17" i="1" s="1"/>
  <c r="F65" i="1" s="1"/>
  <c r="N61" i="1"/>
  <c r="E16" i="7"/>
  <c r="T16" i="7"/>
  <c r="W17" i="7" s="1"/>
  <c r="W47" i="7"/>
  <c r="F81" i="7" s="1"/>
  <c r="W76" i="7"/>
  <c r="F83" i="7" s="1"/>
  <c r="K58" i="18"/>
  <c r="D108" i="18" s="1"/>
  <c r="P28" i="28"/>
  <c r="G52" i="28"/>
  <c r="J52" i="28" s="1"/>
  <c r="I86" i="28"/>
  <c r="J98" i="28"/>
  <c r="I100" i="28"/>
  <c r="I106" i="28" s="1"/>
  <c r="F140" i="28" s="1"/>
  <c r="G106" i="28"/>
  <c r="I124" i="28"/>
  <c r="J126" i="28"/>
  <c r="E31" i="1"/>
  <c r="T31" i="1"/>
  <c r="H31" i="1"/>
  <c r="N32" i="1" s="1"/>
  <c r="D66" i="1" s="1"/>
  <c r="W31" i="1"/>
  <c r="N45" i="1"/>
  <c r="N46" i="1" s="1"/>
  <c r="E45" i="1"/>
  <c r="T45" i="1"/>
  <c r="Z46" i="1" s="1"/>
  <c r="F67" i="1" s="1"/>
  <c r="K47" i="7"/>
  <c r="D81" i="7" s="1"/>
  <c r="K16" i="22"/>
  <c r="N16" i="22"/>
  <c r="N32" i="22"/>
  <c r="H62" i="22"/>
  <c r="D107" i="22"/>
  <c r="D19" i="6"/>
  <c r="E19" i="6" s="1"/>
  <c r="E17" i="6" s="1"/>
  <c r="H16" i="22"/>
  <c r="W16" i="22"/>
  <c r="W15" i="18"/>
  <c r="K100" i="18"/>
  <c r="J93" i="22"/>
  <c r="K72" i="22"/>
  <c r="K78" i="22" s="1"/>
  <c r="N79" i="22" s="1"/>
  <c r="J56" i="22"/>
  <c r="Y72" i="22"/>
  <c r="Z72" i="22" s="1"/>
  <c r="Z78" i="22" s="1"/>
  <c r="K43" i="18"/>
  <c r="K44" i="18" s="1"/>
  <c r="D107" i="18" s="1"/>
  <c r="D111" i="18" s="1"/>
  <c r="K71" i="18"/>
  <c r="K72" i="18" s="1"/>
  <c r="D109" i="18" s="1"/>
  <c r="V9" i="29"/>
  <c r="J39" i="29"/>
  <c r="K39" i="29" s="1"/>
  <c r="K45" i="29" s="1"/>
  <c r="K46" i="29" s="1"/>
  <c r="K24" i="29"/>
  <c r="K30" i="29" s="1"/>
  <c r="K31" i="29" s="1"/>
  <c r="E119" i="29"/>
  <c r="E120" i="29" s="1"/>
  <c r="E32" i="22"/>
  <c r="T32" i="22"/>
  <c r="Z33" i="22" s="1"/>
  <c r="W29" i="18"/>
  <c r="F106" i="18" s="1"/>
  <c r="W58" i="18"/>
  <c r="F108" i="18" s="1"/>
  <c r="W86" i="18"/>
  <c r="F110" i="18" s="1"/>
  <c r="K101" i="18"/>
  <c r="F79" i="10"/>
  <c r="Z46" i="10"/>
  <c r="F80" i="10" s="1"/>
  <c r="H16" i="10"/>
  <c r="H45" i="29"/>
  <c r="H46" i="29" s="1"/>
  <c r="V24" i="17"/>
  <c r="W24" i="17" s="1"/>
  <c r="W9" i="17"/>
  <c r="W15" i="17" s="1"/>
  <c r="Z15" i="10"/>
  <c r="Z16" i="10" s="1"/>
  <c r="E74" i="10"/>
  <c r="W74" i="10"/>
  <c r="T74" i="10"/>
  <c r="D83" i="10"/>
  <c r="E59" i="29"/>
  <c r="E60" i="29" s="1"/>
  <c r="T59" i="29"/>
  <c r="W73" i="29"/>
  <c r="T76" i="29" s="1"/>
  <c r="U76" i="29" s="1"/>
  <c r="K152" i="29"/>
  <c r="W167" i="29"/>
  <c r="K15" i="17"/>
  <c r="H30" i="17"/>
  <c r="W30" i="17"/>
  <c r="K45" i="17"/>
  <c r="AC45" i="17"/>
  <c r="K59" i="17"/>
  <c r="K60" i="17" s="1"/>
  <c r="W44" i="18"/>
  <c r="F107" i="18" s="1"/>
  <c r="W72" i="18"/>
  <c r="F109" i="18" s="1"/>
  <c r="W101" i="18"/>
  <c r="N16" i="10"/>
  <c r="D79" i="10"/>
  <c r="H59" i="10"/>
  <c r="W59" i="10"/>
  <c r="E59" i="10"/>
  <c r="T59" i="10"/>
  <c r="AF59" i="10"/>
  <c r="Q45" i="29"/>
  <c r="AF45" i="29"/>
  <c r="K73" i="29"/>
  <c r="K74" i="29" s="1"/>
  <c r="H118" i="29"/>
  <c r="E133" i="29"/>
  <c r="Q133" i="29"/>
  <c r="K30" i="17"/>
  <c r="S9" i="29"/>
  <c r="S24" i="17"/>
  <c r="T24" i="17" s="1"/>
  <c r="AF45" i="17"/>
  <c r="Q59" i="17"/>
  <c r="W152" i="17"/>
  <c r="W167" i="17"/>
  <c r="K31" i="24"/>
  <c r="L31" i="24"/>
  <c r="L32" i="24" s="1"/>
  <c r="J93" i="8"/>
  <c r="AC72" i="8"/>
  <c r="AD72" i="8" s="1"/>
  <c r="J56" i="8"/>
  <c r="K72" i="8"/>
  <c r="K31" i="14"/>
  <c r="C79" i="14" s="1"/>
  <c r="K46" i="14"/>
  <c r="D80" i="14" s="1"/>
  <c r="K75" i="14"/>
  <c r="D82" i="14" s="1"/>
  <c r="K118" i="29"/>
  <c r="W152" i="29"/>
  <c r="T45" i="17"/>
  <c r="I98" i="19" s="1"/>
  <c r="AI45" i="17"/>
  <c r="AI46" i="17" s="1"/>
  <c r="E59" i="17"/>
  <c r="E60" i="17" s="1"/>
  <c r="T59" i="17"/>
  <c r="AK59" i="17"/>
  <c r="Q73" i="17"/>
  <c r="H103" i="17"/>
  <c r="H45" i="24"/>
  <c r="H46" i="24" s="1"/>
  <c r="Q77" i="24"/>
  <c r="D111" i="9"/>
  <c r="H24" i="29"/>
  <c r="H30" i="29" s="1"/>
  <c r="H31" i="29" s="1"/>
  <c r="Q73" i="29"/>
  <c r="H103" i="29"/>
  <c r="N133" i="29"/>
  <c r="K103" i="17"/>
  <c r="AD78" i="8"/>
  <c r="D83" i="14"/>
  <c r="AD33" i="8"/>
  <c r="W141" i="24"/>
  <c r="X62" i="8"/>
  <c r="Z72" i="8"/>
  <c r="AA72" i="8" s="1"/>
  <c r="G93" i="8"/>
  <c r="M127" i="17"/>
  <c r="N127" i="17" s="1"/>
  <c r="N133" i="17" s="1"/>
  <c r="J39" i="24"/>
  <c r="K39" i="24" s="1"/>
  <c r="K45" i="24" s="1"/>
  <c r="K46" i="24" s="1"/>
  <c r="K77" i="24"/>
  <c r="AC77" i="24"/>
  <c r="H78" i="8"/>
  <c r="X78" i="8"/>
  <c r="AG79" i="8" s="1"/>
  <c r="AJ78" i="8"/>
  <c r="W15" i="13"/>
  <c r="W44" i="13"/>
  <c r="W73" i="13"/>
  <c r="H16" i="8"/>
  <c r="AA16" i="8"/>
  <c r="G56" i="8"/>
  <c r="K78" i="8"/>
  <c r="AA78" i="8"/>
  <c r="E72" i="8"/>
  <c r="E78" i="8" s="1"/>
  <c r="X99" i="8"/>
  <c r="AJ99" i="8"/>
  <c r="Z46" i="14"/>
  <c r="F80" i="14" s="1"/>
  <c r="Z75" i="14"/>
  <c r="F82" i="14" s="1"/>
  <c r="W16" i="16"/>
  <c r="W46" i="16"/>
  <c r="W15" i="9"/>
  <c r="W44" i="9"/>
  <c r="F107" i="9" s="1"/>
  <c r="W72" i="9"/>
  <c r="F109" i="9" s="1"/>
  <c r="W101" i="9"/>
  <c r="T31" i="17" l="1"/>
  <c r="U31" i="17"/>
  <c r="I97" i="28"/>
  <c r="I97" i="25"/>
  <c r="I97" i="26"/>
  <c r="I97" i="27"/>
  <c r="J105" i="25"/>
  <c r="E140" i="25"/>
  <c r="D9" i="24"/>
  <c r="D9" i="29"/>
  <c r="D9" i="17"/>
  <c r="E21" i="6"/>
  <c r="H24" i="6" s="1"/>
  <c r="D67" i="1"/>
  <c r="G8" i="15"/>
  <c r="G8" i="21"/>
  <c r="P3" i="21" s="1"/>
  <c r="P5" i="21" s="1"/>
  <c r="G8" i="19"/>
  <c r="G212" i="28"/>
  <c r="I59" i="28"/>
  <c r="I59" i="25"/>
  <c r="I59" i="26"/>
  <c r="I59" i="27"/>
  <c r="E146" i="19"/>
  <c r="N79" i="8"/>
  <c r="P20" i="21"/>
  <c r="P18" i="15"/>
  <c r="I61" i="21"/>
  <c r="I59" i="15"/>
  <c r="P18" i="19"/>
  <c r="I59" i="19"/>
  <c r="I72" i="28"/>
  <c r="I72" i="25"/>
  <c r="I72" i="26"/>
  <c r="I72" i="27"/>
  <c r="H146" i="19"/>
  <c r="I64" i="21"/>
  <c r="I62" i="15"/>
  <c r="P22" i="21"/>
  <c r="S22" i="21" s="1"/>
  <c r="P20" i="15"/>
  <c r="S20" i="15" s="1"/>
  <c r="I62" i="19"/>
  <c r="P20" i="19"/>
  <c r="S20" i="19" s="1"/>
  <c r="H18" i="8"/>
  <c r="G62" i="21"/>
  <c r="G60" i="15"/>
  <c r="M19" i="15"/>
  <c r="G68" i="21"/>
  <c r="G66" i="15"/>
  <c r="G74" i="21"/>
  <c r="G72" i="15"/>
  <c r="G60" i="19"/>
  <c r="M19" i="19"/>
  <c r="G66" i="19"/>
  <c r="G72" i="19"/>
  <c r="AC93" i="8"/>
  <c r="AD93" i="8" s="1"/>
  <c r="AD99" i="8" s="1"/>
  <c r="K93" i="8"/>
  <c r="K99" i="8" s="1"/>
  <c r="T9" i="29"/>
  <c r="T15" i="29" s="1"/>
  <c r="T16" i="29" s="1"/>
  <c r="S24" i="29"/>
  <c r="T24" i="29" s="1"/>
  <c r="T30" i="29" s="1"/>
  <c r="I78" i="28"/>
  <c r="I78" i="25"/>
  <c r="I78" i="27"/>
  <c r="I78" i="26"/>
  <c r="K16" i="17"/>
  <c r="G111" i="28"/>
  <c r="G111" i="25"/>
  <c r="G111" i="27"/>
  <c r="G111" i="26"/>
  <c r="G111" i="15"/>
  <c r="D163" i="15" s="1"/>
  <c r="G113" i="21"/>
  <c r="G111" i="19"/>
  <c r="D170" i="19" s="1"/>
  <c r="E33" i="22"/>
  <c r="G61" i="28"/>
  <c r="G61" i="26"/>
  <c r="G61" i="25"/>
  <c r="G61" i="27"/>
  <c r="I62" i="28"/>
  <c r="I62" i="25"/>
  <c r="I62" i="26"/>
  <c r="I62" i="27"/>
  <c r="N18" i="22"/>
  <c r="G63" i="28"/>
  <c r="G63" i="25"/>
  <c r="G63" i="26"/>
  <c r="G63" i="27"/>
  <c r="Z32" i="1"/>
  <c r="F66" i="1" s="1"/>
  <c r="K17" i="7"/>
  <c r="C80" i="7" s="1"/>
  <c r="D84" i="7" s="1"/>
  <c r="F51" i="28"/>
  <c r="F51" i="26"/>
  <c r="F51" i="25"/>
  <c r="F51" i="27"/>
  <c r="F55" i="15"/>
  <c r="F53" i="21"/>
  <c r="F51" i="15"/>
  <c r="D11" i="15"/>
  <c r="D11" i="21"/>
  <c r="F57" i="21"/>
  <c r="F51" i="19"/>
  <c r="D11" i="19"/>
  <c r="F55" i="19"/>
  <c r="I109" i="28"/>
  <c r="H103" i="28"/>
  <c r="H80" i="22"/>
  <c r="J106" i="25"/>
  <c r="I109" i="25"/>
  <c r="I14" i="25"/>
  <c r="D143" i="21"/>
  <c r="G171" i="19"/>
  <c r="H171" i="19"/>
  <c r="D187" i="19"/>
  <c r="E209" i="19" s="1"/>
  <c r="E217" i="19" s="1"/>
  <c r="H128" i="21"/>
  <c r="I128" i="21" s="1"/>
  <c r="J128" i="21" s="1"/>
  <c r="H126" i="15"/>
  <c r="I126" i="15" s="1"/>
  <c r="J126" i="15" s="1"/>
  <c r="AK60" i="17"/>
  <c r="I112" i="26"/>
  <c r="I112" i="27"/>
  <c r="I107" i="19"/>
  <c r="J107" i="19" s="1"/>
  <c r="J98" i="19"/>
  <c r="I108" i="19"/>
  <c r="J108" i="19" s="1"/>
  <c r="I109" i="19"/>
  <c r="J109" i="19" s="1"/>
  <c r="I105" i="19"/>
  <c r="J105" i="19" s="1"/>
  <c r="H98" i="19"/>
  <c r="I110" i="19"/>
  <c r="J110" i="19" s="1"/>
  <c r="I106" i="19"/>
  <c r="J106" i="19" s="1"/>
  <c r="K31" i="17"/>
  <c r="I113" i="21"/>
  <c r="I111" i="15"/>
  <c r="I111" i="19"/>
  <c r="AF60" i="10"/>
  <c r="I79" i="28"/>
  <c r="I79" i="25"/>
  <c r="I79" i="27"/>
  <c r="I79" i="26"/>
  <c r="I80" i="21"/>
  <c r="I78" i="15"/>
  <c r="P28" i="21"/>
  <c r="P26" i="15"/>
  <c r="I78" i="19"/>
  <c r="P26" i="19"/>
  <c r="K46" i="17"/>
  <c r="G112" i="28"/>
  <c r="G112" i="25"/>
  <c r="I114" i="21"/>
  <c r="I112" i="15"/>
  <c r="W16" i="17"/>
  <c r="G114" i="21"/>
  <c r="F114" i="21" s="1"/>
  <c r="G112" i="15"/>
  <c r="F112" i="15" s="1"/>
  <c r="V24" i="29"/>
  <c r="W24" i="29" s="1"/>
  <c r="W30" i="29" s="1"/>
  <c r="W31" i="29" s="1"/>
  <c r="W9" i="29"/>
  <c r="W15" i="29" s="1"/>
  <c r="W16" i="29" s="1"/>
  <c r="K56" i="22"/>
  <c r="K62" i="22" s="1"/>
  <c r="Y56" i="22"/>
  <c r="Z56" i="22" s="1"/>
  <c r="Z62" i="22" s="1"/>
  <c r="K18" i="22"/>
  <c r="G62" i="28"/>
  <c r="G62" i="25"/>
  <c r="G62" i="26"/>
  <c r="G62" i="27"/>
  <c r="D68" i="1"/>
  <c r="H8" i="15"/>
  <c r="H8" i="21"/>
  <c r="H8" i="19"/>
  <c r="H104" i="25"/>
  <c r="I110" i="25"/>
  <c r="H212" i="25"/>
  <c r="J108" i="25"/>
  <c r="D143" i="27"/>
  <c r="D165" i="27"/>
  <c r="G71" i="27"/>
  <c r="J65" i="27"/>
  <c r="F65" i="27"/>
  <c r="D165" i="25"/>
  <c r="D143" i="25"/>
  <c r="J53" i="25"/>
  <c r="J14" i="27"/>
  <c r="D141" i="15"/>
  <c r="J61" i="19"/>
  <c r="F171" i="19"/>
  <c r="F188" i="19"/>
  <c r="H56" i="8"/>
  <c r="H62" i="8" s="1"/>
  <c r="Z56" i="8"/>
  <c r="AA56" i="8" s="1"/>
  <c r="AA62" i="8" s="1"/>
  <c r="AG63" i="8" s="1"/>
  <c r="P21" i="21"/>
  <c r="S21" i="21" s="1"/>
  <c r="P19" i="15"/>
  <c r="S19" i="15" s="1"/>
  <c r="I62" i="21"/>
  <c r="I60" i="15"/>
  <c r="P19" i="19"/>
  <c r="S19" i="19" s="1"/>
  <c r="I60" i="19"/>
  <c r="H93" i="8"/>
  <c r="H99" i="8" s="1"/>
  <c r="Z93" i="8"/>
  <c r="AA93" i="8" s="1"/>
  <c r="AA99" i="8" s="1"/>
  <c r="AG100" i="8" s="1"/>
  <c r="AC56" i="8"/>
  <c r="AD56" i="8" s="1"/>
  <c r="AD62" i="8" s="1"/>
  <c r="K56" i="8"/>
  <c r="K62" i="8" s="1"/>
  <c r="Q93" i="17"/>
  <c r="Q92" i="17"/>
  <c r="I84" i="28"/>
  <c r="I84" i="25"/>
  <c r="I84" i="26"/>
  <c r="I84" i="27"/>
  <c r="I77" i="28"/>
  <c r="I77" i="27"/>
  <c r="I77" i="26"/>
  <c r="I77" i="25"/>
  <c r="W31" i="17"/>
  <c r="I111" i="28"/>
  <c r="I111" i="25"/>
  <c r="I111" i="26"/>
  <c r="I111" i="27"/>
  <c r="K33" i="22"/>
  <c r="I67" i="28"/>
  <c r="I67" i="25"/>
  <c r="I67" i="26"/>
  <c r="I67" i="27"/>
  <c r="G65" i="28"/>
  <c r="F59" i="28"/>
  <c r="D65" i="1"/>
  <c r="H50" i="28"/>
  <c r="I50" i="28" s="1"/>
  <c r="H50" i="25"/>
  <c r="H50" i="27"/>
  <c r="I50" i="27" s="1"/>
  <c r="E8" i="15"/>
  <c r="E8" i="21"/>
  <c r="E8" i="19"/>
  <c r="H34" i="22"/>
  <c r="H35" i="22" s="1"/>
  <c r="G212" i="25"/>
  <c r="H212" i="28"/>
  <c r="E140" i="28"/>
  <c r="F71" i="26"/>
  <c r="S21" i="28"/>
  <c r="J63" i="21"/>
  <c r="J61" i="15"/>
  <c r="D144" i="21"/>
  <c r="D145" i="21" s="1"/>
  <c r="J171" i="19"/>
  <c r="I188" i="19"/>
  <c r="K165" i="21"/>
  <c r="K164" i="15"/>
  <c r="F217" i="19"/>
  <c r="G217" i="19" s="1"/>
  <c r="F209" i="19"/>
  <c r="G209" i="19" s="1"/>
  <c r="J146" i="19"/>
  <c r="AH60" i="17"/>
  <c r="I98" i="26"/>
  <c r="I98" i="27"/>
  <c r="Q93" i="29"/>
  <c r="Q92" i="29"/>
  <c r="P27" i="21"/>
  <c r="P25" i="15"/>
  <c r="I79" i="21"/>
  <c r="I77" i="15"/>
  <c r="P25" i="19"/>
  <c r="I77" i="19"/>
  <c r="H31" i="17"/>
  <c r="I99" i="21"/>
  <c r="I97" i="15"/>
  <c r="I97" i="19"/>
  <c r="K93" i="22"/>
  <c r="K99" i="22" s="1"/>
  <c r="Y93" i="22"/>
  <c r="Z93" i="22" s="1"/>
  <c r="Z99" i="22" s="1"/>
  <c r="X102" i="22" s="1"/>
  <c r="H18" i="22"/>
  <c r="G60" i="28"/>
  <c r="G60" i="25"/>
  <c r="G60" i="26"/>
  <c r="G60" i="27"/>
  <c r="N33" i="22"/>
  <c r="I74" i="28"/>
  <c r="I74" i="25"/>
  <c r="I74" i="26"/>
  <c r="I74" i="27"/>
  <c r="J106" i="28"/>
  <c r="C65" i="1"/>
  <c r="E18" i="1"/>
  <c r="C73" i="1" s="1"/>
  <c r="D74" i="1" s="1"/>
  <c r="F50" i="28"/>
  <c r="G50" i="28" s="1"/>
  <c r="F50" i="26"/>
  <c r="G50" i="26" s="1"/>
  <c r="F50" i="25"/>
  <c r="G50" i="25" s="1"/>
  <c r="F50" i="27"/>
  <c r="G50" i="27" s="1"/>
  <c r="F52" i="21"/>
  <c r="G52" i="21" s="1"/>
  <c r="F50" i="15"/>
  <c r="G50" i="15" s="1"/>
  <c r="D8" i="15"/>
  <c r="D8" i="21"/>
  <c r="N3" i="21" s="1"/>
  <c r="F50" i="19"/>
  <c r="G50" i="19" s="1"/>
  <c r="D8" i="19"/>
  <c r="H65" i="22"/>
  <c r="I61" i="28"/>
  <c r="I61" i="25"/>
  <c r="I61" i="26"/>
  <c r="I61" i="27"/>
  <c r="N17" i="22"/>
  <c r="E74" i="1"/>
  <c r="H140" i="28"/>
  <c r="K212" i="28"/>
  <c r="H140" i="25"/>
  <c r="F77" i="15"/>
  <c r="J80" i="15"/>
  <c r="F80" i="15"/>
  <c r="O59" i="15"/>
  <c r="J82" i="21"/>
  <c r="O4" i="21"/>
  <c r="G188" i="19"/>
  <c r="D171" i="19"/>
  <c r="E171" i="19"/>
  <c r="D163" i="26" l="1"/>
  <c r="C153" i="26"/>
  <c r="D224" i="26"/>
  <c r="E192" i="26"/>
  <c r="E200" i="26" s="1"/>
  <c r="G200" i="26" s="1"/>
  <c r="E190" i="15"/>
  <c r="E198" i="15" s="1"/>
  <c r="D222" i="15"/>
  <c r="I187" i="19"/>
  <c r="E187" i="19"/>
  <c r="E189" i="19" s="1"/>
  <c r="H170" i="19"/>
  <c r="H187" i="19"/>
  <c r="H189" i="19" s="1"/>
  <c r="G170" i="19"/>
  <c r="G187" i="19"/>
  <c r="J170" i="19"/>
  <c r="F170" i="19"/>
  <c r="J187" i="19"/>
  <c r="J189" i="19" s="1"/>
  <c r="F187" i="19"/>
  <c r="I170" i="19"/>
  <c r="E170" i="19"/>
  <c r="E172" i="19" s="1"/>
  <c r="C135" i="19"/>
  <c r="C146" i="19"/>
  <c r="E135" i="19"/>
  <c r="H61" i="27"/>
  <c r="P61" i="27" s="1"/>
  <c r="J61" i="27"/>
  <c r="D144" i="27"/>
  <c r="H74" i="26"/>
  <c r="G66" i="27"/>
  <c r="F60" i="27"/>
  <c r="G64" i="27"/>
  <c r="D161" i="27"/>
  <c r="J60" i="27"/>
  <c r="D139" i="27"/>
  <c r="J97" i="15"/>
  <c r="H97" i="15"/>
  <c r="P29" i="19"/>
  <c r="S29" i="19" s="1"/>
  <c r="P28" i="19"/>
  <c r="P31" i="21"/>
  <c r="S31" i="21" s="1"/>
  <c r="P30" i="21"/>
  <c r="I107" i="27"/>
  <c r="J98" i="27"/>
  <c r="I108" i="27"/>
  <c r="H162" i="27" s="1"/>
  <c r="I109" i="27"/>
  <c r="I105" i="27"/>
  <c r="H98" i="27"/>
  <c r="I110" i="27"/>
  <c r="J162" i="27" s="1"/>
  <c r="I106" i="27"/>
  <c r="F199" i="21"/>
  <c r="F212" i="28"/>
  <c r="O3" i="21"/>
  <c r="O5" i="21" s="1"/>
  <c r="J8" i="21"/>
  <c r="J50" i="28"/>
  <c r="G71" i="28"/>
  <c r="F65" i="28"/>
  <c r="J65" i="28"/>
  <c r="H67" i="28"/>
  <c r="J111" i="28"/>
  <c r="H111" i="28"/>
  <c r="H77" i="27"/>
  <c r="I82" i="27"/>
  <c r="J77" i="27"/>
  <c r="I95" i="26"/>
  <c r="I91" i="26"/>
  <c r="H84" i="26"/>
  <c r="I96" i="26"/>
  <c r="I92" i="26"/>
  <c r="I93" i="26"/>
  <c r="I94" i="26"/>
  <c r="I74" i="21"/>
  <c r="Q21" i="21"/>
  <c r="I72" i="15"/>
  <c r="Q19" i="15"/>
  <c r="I72" i="19"/>
  <c r="Q19" i="19"/>
  <c r="N100" i="8"/>
  <c r="J62" i="21"/>
  <c r="H62" i="21"/>
  <c r="P62" i="21" s="1"/>
  <c r="D140" i="21"/>
  <c r="H140" i="21"/>
  <c r="E140" i="21"/>
  <c r="F140" i="21"/>
  <c r="G140" i="21"/>
  <c r="I140" i="21"/>
  <c r="J140" i="21"/>
  <c r="I66" i="15"/>
  <c r="O21" i="21"/>
  <c r="O19" i="15"/>
  <c r="I68" i="21"/>
  <c r="O19" i="19"/>
  <c r="I66" i="19"/>
  <c r="D211" i="15"/>
  <c r="H163" i="15"/>
  <c r="H141" i="15"/>
  <c r="K163" i="15"/>
  <c r="G163" i="15"/>
  <c r="K141" i="15"/>
  <c r="G141" i="15"/>
  <c r="J163" i="15"/>
  <c r="F163" i="15"/>
  <c r="J141" i="15"/>
  <c r="F141" i="15"/>
  <c r="I163" i="15"/>
  <c r="E163" i="15"/>
  <c r="I141" i="15"/>
  <c r="E141" i="15"/>
  <c r="G68" i="28"/>
  <c r="F62" i="28"/>
  <c r="O62" i="28" s="1"/>
  <c r="F112" i="28"/>
  <c r="J112" i="28"/>
  <c r="H79" i="26"/>
  <c r="J79" i="26"/>
  <c r="D167" i="26"/>
  <c r="H172" i="19"/>
  <c r="H135" i="19"/>
  <c r="J109" i="28"/>
  <c r="I140" i="28"/>
  <c r="G57" i="21"/>
  <c r="F60" i="21"/>
  <c r="F56" i="21"/>
  <c r="G53" i="21"/>
  <c r="F54" i="26"/>
  <c r="F55" i="26"/>
  <c r="G51" i="26"/>
  <c r="G69" i="28"/>
  <c r="F63" i="28"/>
  <c r="O63" i="28" s="1"/>
  <c r="J63" i="28"/>
  <c r="J62" i="25"/>
  <c r="H62" i="25"/>
  <c r="P62" i="25" s="1"/>
  <c r="G67" i="26"/>
  <c r="G73" i="26" s="1"/>
  <c r="F61" i="26"/>
  <c r="D166" i="26"/>
  <c r="D143" i="26"/>
  <c r="G123" i="21"/>
  <c r="F113" i="21"/>
  <c r="F130" i="21" s="1"/>
  <c r="G124" i="21"/>
  <c r="G125" i="21"/>
  <c r="G121" i="21"/>
  <c r="G126" i="21"/>
  <c r="G122" i="21"/>
  <c r="G121" i="25"/>
  <c r="J121" i="25" s="1"/>
  <c r="G123" i="25"/>
  <c r="J123" i="25" s="1"/>
  <c r="G119" i="25"/>
  <c r="J119" i="25" s="1"/>
  <c r="G122" i="25"/>
  <c r="J122" i="25" s="1"/>
  <c r="G124" i="25"/>
  <c r="J124" i="25" s="1"/>
  <c r="F111" i="25"/>
  <c r="G120" i="25"/>
  <c r="J120" i="25" s="1"/>
  <c r="H78" i="27"/>
  <c r="J78" i="27"/>
  <c r="G162" i="27"/>
  <c r="E162" i="27"/>
  <c r="D162" i="27"/>
  <c r="F162" i="27"/>
  <c r="I162" i="27"/>
  <c r="F72" i="19"/>
  <c r="F76" i="19" s="1"/>
  <c r="G76" i="19"/>
  <c r="F72" i="15"/>
  <c r="F76" i="15" s="1"/>
  <c r="G76" i="15"/>
  <c r="M21" i="15"/>
  <c r="M22" i="15"/>
  <c r="J62" i="15"/>
  <c r="H62" i="15"/>
  <c r="P62" i="15" s="1"/>
  <c r="D142" i="15"/>
  <c r="H72" i="25"/>
  <c r="P21" i="19"/>
  <c r="P22" i="19"/>
  <c r="S18" i="19"/>
  <c r="P23" i="21"/>
  <c r="S23" i="21" s="1"/>
  <c r="P24" i="21"/>
  <c r="S24" i="21" s="1"/>
  <c r="S20" i="21"/>
  <c r="H59" i="28"/>
  <c r="I64" i="28"/>
  <c r="J59" i="28"/>
  <c r="P9" i="29"/>
  <c r="E9" i="29"/>
  <c r="E15" i="29" s="1"/>
  <c r="D24" i="29"/>
  <c r="F212" i="25"/>
  <c r="J97" i="25"/>
  <c r="H97" i="25"/>
  <c r="K140" i="25"/>
  <c r="D140" i="25"/>
  <c r="D172" i="19"/>
  <c r="D135" i="19"/>
  <c r="I212" i="25"/>
  <c r="H61" i="26"/>
  <c r="P61" i="26" s="1"/>
  <c r="J61" i="26"/>
  <c r="J50" i="25"/>
  <c r="H74" i="25"/>
  <c r="G66" i="26"/>
  <c r="J60" i="26"/>
  <c r="F60" i="26"/>
  <c r="G64" i="26"/>
  <c r="I73" i="28"/>
  <c r="I73" i="25"/>
  <c r="I73" i="26"/>
  <c r="I73" i="27"/>
  <c r="J99" i="21"/>
  <c r="H99" i="21"/>
  <c r="H77" i="15"/>
  <c r="I82" i="15"/>
  <c r="J77" i="15"/>
  <c r="I108" i="26"/>
  <c r="I109" i="26"/>
  <c r="I105" i="26"/>
  <c r="H98" i="26"/>
  <c r="I110" i="26"/>
  <c r="I106" i="26"/>
  <c r="I107" i="26"/>
  <c r="G163" i="26" s="1"/>
  <c r="J98" i="26"/>
  <c r="I189" i="19"/>
  <c r="I146" i="19"/>
  <c r="J8" i="15"/>
  <c r="D69" i="1"/>
  <c r="H67" i="27"/>
  <c r="J111" i="27"/>
  <c r="H111" i="27"/>
  <c r="J77" i="28"/>
  <c r="H77" i="28"/>
  <c r="I82" i="28"/>
  <c r="I93" i="25"/>
  <c r="I95" i="25"/>
  <c r="I91" i="25"/>
  <c r="H84" i="25"/>
  <c r="I96" i="25"/>
  <c r="I92" i="25"/>
  <c r="I94" i="25"/>
  <c r="H158" i="25" s="1"/>
  <c r="I70" i="21"/>
  <c r="I68" i="15"/>
  <c r="O22" i="21"/>
  <c r="O20" i="15"/>
  <c r="I68" i="19"/>
  <c r="O20" i="19"/>
  <c r="J60" i="19"/>
  <c r="H60" i="19"/>
  <c r="P60" i="19" s="1"/>
  <c r="F168" i="19"/>
  <c r="E168" i="19"/>
  <c r="D168" i="19"/>
  <c r="J168" i="19"/>
  <c r="I168" i="19"/>
  <c r="H168" i="19"/>
  <c r="G168" i="19"/>
  <c r="F189" i="19"/>
  <c r="F146" i="19"/>
  <c r="D224" i="27"/>
  <c r="E192" i="27"/>
  <c r="E200" i="27" s="1"/>
  <c r="G200" i="27" s="1"/>
  <c r="J110" i="25"/>
  <c r="J140" i="25"/>
  <c r="G68" i="27"/>
  <c r="F62" i="27"/>
  <c r="O62" i="27" s="1"/>
  <c r="I121" i="15"/>
  <c r="G142" i="15" s="1"/>
  <c r="J112" i="15"/>
  <c r="I122" i="15"/>
  <c r="I123" i="15"/>
  <c r="I119" i="15"/>
  <c r="E142" i="15" s="1"/>
  <c r="H112" i="15"/>
  <c r="I124" i="15"/>
  <c r="I120" i="15"/>
  <c r="H79" i="27"/>
  <c r="J79" i="27"/>
  <c r="D166" i="27"/>
  <c r="F166" i="27"/>
  <c r="H166" i="27"/>
  <c r="J111" i="19"/>
  <c r="H111" i="19"/>
  <c r="D188" i="19"/>
  <c r="I121" i="27"/>
  <c r="G144" i="27" s="1"/>
  <c r="I122" i="27"/>
  <c r="H144" i="27" s="1"/>
  <c r="J112" i="27"/>
  <c r="I123" i="27"/>
  <c r="I119" i="27"/>
  <c r="I124" i="27"/>
  <c r="J144" i="27" s="1"/>
  <c r="I120" i="27"/>
  <c r="H112" i="27"/>
  <c r="G172" i="19"/>
  <c r="G135" i="19"/>
  <c r="G55" i="19"/>
  <c r="F58" i="19"/>
  <c r="D14" i="21"/>
  <c r="D17" i="21"/>
  <c r="J17" i="21" s="1"/>
  <c r="F58" i="15"/>
  <c r="G55" i="15"/>
  <c r="F55" i="28"/>
  <c r="G51" i="28"/>
  <c r="F54" i="28"/>
  <c r="F63" i="27"/>
  <c r="O63" i="27" s="1"/>
  <c r="G69" i="27"/>
  <c r="J63" i="27"/>
  <c r="J62" i="28"/>
  <c r="H62" i="28"/>
  <c r="P62" i="28" s="1"/>
  <c r="F61" i="28"/>
  <c r="G67" i="28"/>
  <c r="G73" i="28" s="1"/>
  <c r="D165" i="28"/>
  <c r="D143" i="28"/>
  <c r="G124" i="15"/>
  <c r="G120" i="15"/>
  <c r="G121" i="15"/>
  <c r="F111" i="15"/>
  <c r="F128" i="15" s="1"/>
  <c r="G122" i="15"/>
  <c r="G123" i="15"/>
  <c r="G119" i="15"/>
  <c r="G122" i="28"/>
  <c r="J122" i="28" s="1"/>
  <c r="G124" i="28"/>
  <c r="J124" i="28" s="1"/>
  <c r="G121" i="28"/>
  <c r="J121" i="28" s="1"/>
  <c r="F111" i="28"/>
  <c r="G123" i="28"/>
  <c r="J123" i="28" s="1"/>
  <c r="G119" i="28"/>
  <c r="J119" i="28" s="1"/>
  <c r="G120" i="28"/>
  <c r="J120" i="28" s="1"/>
  <c r="J78" i="25"/>
  <c r="H78" i="25"/>
  <c r="G162" i="25"/>
  <c r="F162" i="25"/>
  <c r="D162" i="25"/>
  <c r="E162" i="25"/>
  <c r="I162" i="25"/>
  <c r="J162" i="25"/>
  <c r="H162" i="25"/>
  <c r="Q22" i="21"/>
  <c r="Q20" i="15"/>
  <c r="I76" i="21"/>
  <c r="I74" i="15"/>
  <c r="Q20" i="19"/>
  <c r="I74" i="19"/>
  <c r="F66" i="19"/>
  <c r="F70" i="19" s="1"/>
  <c r="G78" i="19"/>
  <c r="G70" i="19"/>
  <c r="F74" i="21"/>
  <c r="F78" i="21" s="1"/>
  <c r="G78" i="21"/>
  <c r="F60" i="15"/>
  <c r="G64" i="15"/>
  <c r="D137" i="15"/>
  <c r="D159" i="15"/>
  <c r="H62" i="19"/>
  <c r="P62" i="19" s="1"/>
  <c r="J62" i="19"/>
  <c r="H64" i="21"/>
  <c r="P64" i="21" s="1"/>
  <c r="J64" i="21"/>
  <c r="H72" i="28"/>
  <c r="I76" i="28"/>
  <c r="H59" i="15"/>
  <c r="I64" i="15"/>
  <c r="J59" i="15"/>
  <c r="D164" i="21"/>
  <c r="E191" i="21" s="1"/>
  <c r="E199" i="21" s="1"/>
  <c r="I64" i="27"/>
  <c r="J59" i="27"/>
  <c r="H59" i="27"/>
  <c r="O7" i="21"/>
  <c r="E9" i="24"/>
  <c r="E15" i="24" s="1"/>
  <c r="E16" i="24" s="1"/>
  <c r="D24" i="24"/>
  <c r="P9" i="24"/>
  <c r="Q9" i="24" s="1"/>
  <c r="Q15" i="24" s="1"/>
  <c r="J97" i="28"/>
  <c r="H97" i="28"/>
  <c r="D140" i="28"/>
  <c r="K140" i="28"/>
  <c r="G189" i="19"/>
  <c r="G146" i="19"/>
  <c r="I212" i="28"/>
  <c r="J61" i="25"/>
  <c r="H61" i="25"/>
  <c r="P61" i="25" s="1"/>
  <c r="G144" i="25"/>
  <c r="E144" i="25"/>
  <c r="H144" i="25"/>
  <c r="J144" i="25"/>
  <c r="F144" i="25"/>
  <c r="I144" i="25"/>
  <c r="D144" i="25"/>
  <c r="J50" i="15"/>
  <c r="J50" i="26"/>
  <c r="H74" i="28"/>
  <c r="G64" i="25"/>
  <c r="F60" i="25"/>
  <c r="J60" i="25"/>
  <c r="G66" i="25"/>
  <c r="D139" i="25"/>
  <c r="D161" i="25"/>
  <c r="I84" i="21"/>
  <c r="J79" i="21"/>
  <c r="H79" i="21"/>
  <c r="K144" i="21"/>
  <c r="J172" i="19"/>
  <c r="K142" i="15"/>
  <c r="J135" i="19"/>
  <c r="J50" i="27"/>
  <c r="O59" i="28"/>
  <c r="J67" i="26"/>
  <c r="H67" i="26"/>
  <c r="J111" i="26"/>
  <c r="H111" i="26"/>
  <c r="J77" i="25"/>
  <c r="H77" i="25"/>
  <c r="I82" i="25"/>
  <c r="I158" i="25"/>
  <c r="G158" i="25"/>
  <c r="J158" i="25"/>
  <c r="E158" i="25"/>
  <c r="F158" i="25"/>
  <c r="I93" i="28"/>
  <c r="I94" i="28"/>
  <c r="H158" i="28" s="1"/>
  <c r="I95" i="28"/>
  <c r="I136" i="28" s="1"/>
  <c r="I91" i="28"/>
  <c r="H84" i="28"/>
  <c r="I92" i="28"/>
  <c r="F158" i="28" s="1"/>
  <c r="I96" i="28"/>
  <c r="J136" i="28" s="1"/>
  <c r="F172" i="19"/>
  <c r="F135" i="19"/>
  <c r="D213" i="25"/>
  <c r="J165" i="25"/>
  <c r="F165" i="25"/>
  <c r="K143" i="25"/>
  <c r="G143" i="25"/>
  <c r="H165" i="25"/>
  <c r="I143" i="25"/>
  <c r="E143" i="25"/>
  <c r="E165" i="25"/>
  <c r="F143" i="25"/>
  <c r="K165" i="25"/>
  <c r="K167" i="25" s="1"/>
  <c r="I165" i="25"/>
  <c r="J143" i="25"/>
  <c r="G165" i="25"/>
  <c r="H143" i="25"/>
  <c r="K165" i="27"/>
  <c r="K167" i="27" s="1"/>
  <c r="G165" i="27"/>
  <c r="J165" i="27"/>
  <c r="F165" i="27"/>
  <c r="D213" i="27"/>
  <c r="I165" i="27"/>
  <c r="E165" i="27"/>
  <c r="J143" i="27"/>
  <c r="F143" i="27"/>
  <c r="I143" i="27"/>
  <c r="E143" i="27"/>
  <c r="H165" i="27"/>
  <c r="H143" i="27"/>
  <c r="K143" i="27"/>
  <c r="G143" i="27"/>
  <c r="F62" i="26"/>
  <c r="O62" i="26" s="1"/>
  <c r="G68" i="26"/>
  <c r="I68" i="28"/>
  <c r="K144" i="28" s="1"/>
  <c r="I68" i="25"/>
  <c r="I68" i="27"/>
  <c r="K144" i="27" s="1"/>
  <c r="X64" i="22"/>
  <c r="I124" i="21"/>
  <c r="I125" i="21"/>
  <c r="I121" i="21"/>
  <c r="H114" i="21"/>
  <c r="I126" i="21"/>
  <c r="I122" i="21"/>
  <c r="I123" i="21"/>
  <c r="J114" i="21"/>
  <c r="H78" i="15"/>
  <c r="D160" i="15"/>
  <c r="G160" i="15"/>
  <c r="J160" i="15"/>
  <c r="I160" i="15"/>
  <c r="H160" i="15"/>
  <c r="F160" i="15"/>
  <c r="E160" i="15"/>
  <c r="J79" i="25"/>
  <c r="H79" i="25"/>
  <c r="G166" i="25"/>
  <c r="I166" i="25"/>
  <c r="J166" i="25"/>
  <c r="H166" i="25"/>
  <c r="E166" i="25"/>
  <c r="F166" i="25"/>
  <c r="D166" i="25"/>
  <c r="J111" i="15"/>
  <c r="H111" i="15"/>
  <c r="D164" i="15"/>
  <c r="I122" i="26"/>
  <c r="J112" i="26"/>
  <c r="I123" i="26"/>
  <c r="I119" i="26"/>
  <c r="E167" i="26" s="1"/>
  <c r="I124" i="26"/>
  <c r="H112" i="26"/>
  <c r="I121" i="26"/>
  <c r="K164" i="21"/>
  <c r="K166" i="21" s="1"/>
  <c r="G164" i="21"/>
  <c r="K143" i="21"/>
  <c r="G143" i="21"/>
  <c r="J164" i="21"/>
  <c r="F164" i="21"/>
  <c r="J143" i="21"/>
  <c r="F143" i="21"/>
  <c r="I164" i="21"/>
  <c r="E164" i="21"/>
  <c r="I143" i="21"/>
  <c r="E143" i="21"/>
  <c r="H164" i="21"/>
  <c r="H143" i="21"/>
  <c r="D15" i="19"/>
  <c r="J15" i="19" s="1"/>
  <c r="D14" i="19"/>
  <c r="D14" i="15"/>
  <c r="D15" i="15"/>
  <c r="J15" i="15" s="1"/>
  <c r="F54" i="27"/>
  <c r="F55" i="27"/>
  <c r="G51" i="27"/>
  <c r="F63" i="26"/>
  <c r="O63" i="26" s="1"/>
  <c r="G69" i="26"/>
  <c r="J63" i="26"/>
  <c r="H62" i="27"/>
  <c r="P62" i="27" s="1"/>
  <c r="J62" i="27"/>
  <c r="G67" i="27"/>
  <c r="G73" i="27" s="1"/>
  <c r="F61" i="27"/>
  <c r="R17" i="22"/>
  <c r="Q18" i="22"/>
  <c r="G121" i="26"/>
  <c r="F111" i="26"/>
  <c r="G122" i="26"/>
  <c r="G123" i="26"/>
  <c r="G119" i="26"/>
  <c r="G120" i="26"/>
  <c r="G124" i="26"/>
  <c r="J78" i="28"/>
  <c r="H78" i="28"/>
  <c r="J162" i="28"/>
  <c r="I162" i="28"/>
  <c r="H162" i="28"/>
  <c r="G162" i="28"/>
  <c r="F162" i="28"/>
  <c r="E162" i="28"/>
  <c r="D162" i="28"/>
  <c r="M22" i="19"/>
  <c r="M21" i="19"/>
  <c r="G78" i="15"/>
  <c r="F66" i="15"/>
  <c r="F70" i="15" s="1"/>
  <c r="G70" i="15"/>
  <c r="F62" i="21"/>
  <c r="D160" i="21"/>
  <c r="E190" i="21" s="1"/>
  <c r="E198" i="21" s="1"/>
  <c r="G66" i="21"/>
  <c r="D139" i="21"/>
  <c r="H72" i="27"/>
  <c r="I76" i="27"/>
  <c r="I66" i="21"/>
  <c r="J61" i="21"/>
  <c r="J66" i="21" s="1"/>
  <c r="H61" i="21"/>
  <c r="I64" i="26"/>
  <c r="J59" i="26"/>
  <c r="H59" i="26"/>
  <c r="I171" i="19"/>
  <c r="J97" i="27"/>
  <c r="H97" i="27"/>
  <c r="K140" i="27"/>
  <c r="D140" i="27"/>
  <c r="J61" i="28"/>
  <c r="H61" i="28"/>
  <c r="P61" i="28" s="1"/>
  <c r="J144" i="28"/>
  <c r="I144" i="28"/>
  <c r="H144" i="28"/>
  <c r="F144" i="28"/>
  <c r="E144" i="28"/>
  <c r="D144" i="28"/>
  <c r="G144" i="28"/>
  <c r="J50" i="19"/>
  <c r="J52" i="21"/>
  <c r="H74" i="27"/>
  <c r="F60" i="28"/>
  <c r="O60" i="28" s="1"/>
  <c r="J60" i="28"/>
  <c r="G66" i="28"/>
  <c r="D139" i="28"/>
  <c r="D161" i="28"/>
  <c r="J97" i="19"/>
  <c r="H97" i="19"/>
  <c r="H128" i="19" s="1"/>
  <c r="I82" i="19"/>
  <c r="J77" i="19"/>
  <c r="H77" i="19"/>
  <c r="P29" i="15"/>
  <c r="S29" i="15" s="1"/>
  <c r="P28" i="15"/>
  <c r="F198" i="15"/>
  <c r="G198" i="15" s="1"/>
  <c r="K165" i="15"/>
  <c r="J8" i="19"/>
  <c r="G64" i="28"/>
  <c r="H67" i="25"/>
  <c r="I70" i="25"/>
  <c r="K144" i="25"/>
  <c r="H66" i="26"/>
  <c r="J66" i="26"/>
  <c r="K140" i="26"/>
  <c r="J111" i="25"/>
  <c r="H111" i="25"/>
  <c r="H77" i="26"/>
  <c r="I82" i="26"/>
  <c r="I94" i="27"/>
  <c r="I95" i="27"/>
  <c r="I91" i="27"/>
  <c r="H84" i="27"/>
  <c r="I96" i="27"/>
  <c r="I92" i="27"/>
  <c r="I93" i="27"/>
  <c r="H60" i="15"/>
  <c r="P60" i="15" s="1"/>
  <c r="J60" i="15"/>
  <c r="J138" i="15"/>
  <c r="I138" i="15"/>
  <c r="H138" i="15"/>
  <c r="G138" i="15"/>
  <c r="F138" i="15"/>
  <c r="E138" i="15"/>
  <c r="D138" i="15"/>
  <c r="D139" i="26"/>
  <c r="D225" i="25"/>
  <c r="E192" i="25"/>
  <c r="E200" i="25" s="1"/>
  <c r="G200" i="25" s="1"/>
  <c r="F71" i="27"/>
  <c r="J71" i="27"/>
  <c r="F62" i="25"/>
  <c r="O62" i="25" s="1"/>
  <c r="G68" i="25"/>
  <c r="F112" i="25"/>
  <c r="J112" i="25"/>
  <c r="J78" i="19"/>
  <c r="H78" i="19"/>
  <c r="J185" i="19"/>
  <c r="I185" i="19"/>
  <c r="H185" i="19"/>
  <c r="G185" i="19"/>
  <c r="F185" i="19"/>
  <c r="E185" i="19"/>
  <c r="D185" i="19"/>
  <c r="H80" i="21"/>
  <c r="D161" i="21"/>
  <c r="D162" i="21" s="1"/>
  <c r="E161" i="21"/>
  <c r="F161" i="21"/>
  <c r="H161" i="21"/>
  <c r="I161" i="21"/>
  <c r="J161" i="21"/>
  <c r="G161" i="21"/>
  <c r="J79" i="28"/>
  <c r="H79" i="28"/>
  <c r="F166" i="28"/>
  <c r="E166" i="28"/>
  <c r="D166" i="28"/>
  <c r="G166" i="28"/>
  <c r="J166" i="28"/>
  <c r="I166" i="28"/>
  <c r="H166" i="28"/>
  <c r="J113" i="21"/>
  <c r="H113" i="21"/>
  <c r="D165" i="21"/>
  <c r="D166" i="21" s="1"/>
  <c r="J109" i="25"/>
  <c r="I140" i="25"/>
  <c r="F54" i="19"/>
  <c r="G51" i="19"/>
  <c r="G51" i="15"/>
  <c r="F54" i="15"/>
  <c r="F55" i="25"/>
  <c r="G51" i="25"/>
  <c r="F54" i="25"/>
  <c r="G69" i="25"/>
  <c r="F63" i="25"/>
  <c r="O63" i="25" s="1"/>
  <c r="J63" i="25"/>
  <c r="H62" i="26"/>
  <c r="P62" i="26" s="1"/>
  <c r="J62" i="26"/>
  <c r="F61" i="25"/>
  <c r="G67" i="25"/>
  <c r="G73" i="25" s="1"/>
  <c r="G123" i="19"/>
  <c r="J123" i="19" s="1"/>
  <c r="G119" i="19"/>
  <c r="J119" i="19" s="1"/>
  <c r="G124" i="19"/>
  <c r="J124" i="19" s="1"/>
  <c r="G120" i="19"/>
  <c r="J120" i="19" s="1"/>
  <c r="F111" i="19"/>
  <c r="F128" i="19" s="1"/>
  <c r="G121" i="19"/>
  <c r="J121" i="19" s="1"/>
  <c r="G122" i="19"/>
  <c r="J122" i="19" s="1"/>
  <c r="G124" i="27"/>
  <c r="G120" i="27"/>
  <c r="G121" i="27"/>
  <c r="F111" i="27"/>
  <c r="G122" i="27"/>
  <c r="G123" i="27"/>
  <c r="G119" i="27"/>
  <c r="H78" i="26"/>
  <c r="J78" i="26"/>
  <c r="I163" i="26"/>
  <c r="H163" i="26"/>
  <c r="J163" i="26"/>
  <c r="E163" i="26"/>
  <c r="U31" i="29"/>
  <c r="T31" i="29"/>
  <c r="F60" i="19"/>
  <c r="D184" i="19"/>
  <c r="D167" i="19"/>
  <c r="G64" i="19"/>
  <c r="F68" i="21"/>
  <c r="F72" i="21" s="1"/>
  <c r="G80" i="21"/>
  <c r="J80" i="21" s="1"/>
  <c r="G72" i="21"/>
  <c r="H72" i="26"/>
  <c r="I76" i="26"/>
  <c r="I64" i="19"/>
  <c r="J59" i="19"/>
  <c r="J64" i="19" s="1"/>
  <c r="H59" i="19"/>
  <c r="S18" i="15"/>
  <c r="P21" i="15"/>
  <c r="S21" i="15" s="1"/>
  <c r="P22" i="15"/>
  <c r="S22" i="15" s="1"/>
  <c r="J59" i="25"/>
  <c r="I64" i="25"/>
  <c r="H136" i="25"/>
  <c r="H59" i="25"/>
  <c r="G136" i="25"/>
  <c r="E136" i="25"/>
  <c r="J136" i="25"/>
  <c r="F136" i="25"/>
  <c r="I136" i="25"/>
  <c r="D24" i="17"/>
  <c r="E9" i="17"/>
  <c r="E15" i="17" s="1"/>
  <c r="P9" i="17"/>
  <c r="J144" i="21"/>
  <c r="J145" i="21" s="1"/>
  <c r="H97" i="26"/>
  <c r="J97" i="26"/>
  <c r="D140" i="26"/>
  <c r="F163" i="26" l="1"/>
  <c r="B189" i="26"/>
  <c r="G225" i="26"/>
  <c r="F192" i="28"/>
  <c r="J148" i="28"/>
  <c r="K211" i="28"/>
  <c r="I148" i="28"/>
  <c r="J211" i="28"/>
  <c r="J145" i="27"/>
  <c r="K213" i="27"/>
  <c r="I213" i="27"/>
  <c r="H145" i="27"/>
  <c r="F225" i="26"/>
  <c r="F170" i="28"/>
  <c r="G223" i="28"/>
  <c r="H170" i="28"/>
  <c r="I223" i="28"/>
  <c r="H213" i="27"/>
  <c r="G145" i="27"/>
  <c r="F211" i="15"/>
  <c r="E143" i="15"/>
  <c r="H211" i="15"/>
  <c r="G143" i="15"/>
  <c r="F192" i="27"/>
  <c r="G192" i="27" s="1"/>
  <c r="K145" i="27"/>
  <c r="E148" i="25"/>
  <c r="F211" i="25"/>
  <c r="J184" i="19"/>
  <c r="F184" i="19"/>
  <c r="I167" i="19"/>
  <c r="I184" i="19"/>
  <c r="E184" i="19"/>
  <c r="H167" i="19"/>
  <c r="H184" i="19"/>
  <c r="E208" i="19"/>
  <c r="E216" i="19" s="1"/>
  <c r="G184" i="19"/>
  <c r="J167" i="19"/>
  <c r="G167" i="19"/>
  <c r="C134" i="19"/>
  <c r="F167" i="19"/>
  <c r="E167" i="19"/>
  <c r="C145" i="19"/>
  <c r="H224" i="26"/>
  <c r="G54" i="25"/>
  <c r="J51" i="25"/>
  <c r="J54" i="25" s="1"/>
  <c r="G54" i="19"/>
  <c r="J51" i="19"/>
  <c r="J54" i="19" s="1"/>
  <c r="J225" i="28"/>
  <c r="F225" i="28"/>
  <c r="G186" i="19"/>
  <c r="G145" i="19"/>
  <c r="J68" i="26"/>
  <c r="H68" i="26"/>
  <c r="G210" i="15"/>
  <c r="K210" i="15"/>
  <c r="J82" i="26"/>
  <c r="G72" i="28"/>
  <c r="F66" i="28"/>
  <c r="J66" i="28"/>
  <c r="G213" i="28"/>
  <c r="F191" i="27"/>
  <c r="H66" i="21"/>
  <c r="P61" i="21"/>
  <c r="F78" i="15"/>
  <c r="F82" i="15" s="1"/>
  <c r="G82" i="15"/>
  <c r="F224" i="28"/>
  <c r="J224" i="28"/>
  <c r="G54" i="27"/>
  <c r="J51" i="27"/>
  <c r="J54" i="27" s="1"/>
  <c r="J14" i="15"/>
  <c r="I14" i="15"/>
  <c r="J124" i="26"/>
  <c r="J122" i="26"/>
  <c r="D167" i="25"/>
  <c r="E225" i="25"/>
  <c r="K225" i="25"/>
  <c r="J167" i="25"/>
  <c r="J221" i="15"/>
  <c r="J122" i="21"/>
  <c r="F165" i="21"/>
  <c r="F166" i="21" s="1"/>
  <c r="F144" i="21"/>
  <c r="F145" i="21" s="1"/>
  <c r="J125" i="21"/>
  <c r="I165" i="21"/>
  <c r="I166" i="21" s="1"/>
  <c r="I144" i="21"/>
  <c r="I145" i="21" s="1"/>
  <c r="H68" i="25"/>
  <c r="H70" i="25" s="1"/>
  <c r="J68" i="25"/>
  <c r="H170" i="25"/>
  <c r="I223" i="25"/>
  <c r="F64" i="28"/>
  <c r="D224" i="25"/>
  <c r="E191" i="25"/>
  <c r="E199" i="25" s="1"/>
  <c r="G199" i="25" s="1"/>
  <c r="O60" i="25"/>
  <c r="F64" i="25"/>
  <c r="G213" i="25"/>
  <c r="F145" i="25"/>
  <c r="H213" i="25"/>
  <c r="G145" i="25"/>
  <c r="E212" i="28"/>
  <c r="D141" i="28"/>
  <c r="E24" i="24"/>
  <c r="E30" i="24" s="1"/>
  <c r="D39" i="24"/>
  <c r="E39" i="24" s="1"/>
  <c r="E45" i="24" s="1"/>
  <c r="E46" i="24" s="1"/>
  <c r="H64" i="27"/>
  <c r="P59" i="27"/>
  <c r="F224" i="25"/>
  <c r="J165" i="28"/>
  <c r="F165" i="28"/>
  <c r="J143" i="28"/>
  <c r="F143" i="28"/>
  <c r="F145" i="28" s="1"/>
  <c r="D213" i="28"/>
  <c r="I165" i="28"/>
  <c r="I167" i="28" s="1"/>
  <c r="E165" i="28"/>
  <c r="E167" i="28" s="1"/>
  <c r="I143" i="28"/>
  <c r="E143" i="28"/>
  <c r="H165" i="28"/>
  <c r="H143" i="28"/>
  <c r="G165" i="28"/>
  <c r="K143" i="28"/>
  <c r="K145" i="28" s="1"/>
  <c r="G143" i="28"/>
  <c r="K165" i="28"/>
  <c r="K167" i="28" s="1"/>
  <c r="G58" i="15"/>
  <c r="J55" i="15"/>
  <c r="J58" i="15" s="1"/>
  <c r="J123" i="27"/>
  <c r="D189" i="19"/>
  <c r="D146" i="19"/>
  <c r="G224" i="27"/>
  <c r="F167" i="27"/>
  <c r="G166" i="27"/>
  <c r="J120" i="15"/>
  <c r="F164" i="15"/>
  <c r="J123" i="15"/>
  <c r="I164" i="15"/>
  <c r="K140" i="21"/>
  <c r="K138" i="15"/>
  <c r="J169" i="19"/>
  <c r="F208" i="19"/>
  <c r="G208" i="19" s="1"/>
  <c r="J134" i="19"/>
  <c r="H73" i="27"/>
  <c r="H76" i="27" s="1"/>
  <c r="J73" i="27"/>
  <c r="E144" i="26"/>
  <c r="D39" i="29"/>
  <c r="E39" i="29" s="1"/>
  <c r="E45" i="29" s="1"/>
  <c r="E24" i="29"/>
  <c r="E30" i="29" s="1"/>
  <c r="E31" i="29" s="1"/>
  <c r="S21" i="19"/>
  <c r="E211" i="15"/>
  <c r="D143" i="15"/>
  <c r="G223" i="27"/>
  <c r="F223" i="27"/>
  <c r="F67" i="26"/>
  <c r="O61" i="26"/>
  <c r="F73" i="26"/>
  <c r="G55" i="26"/>
  <c r="F58" i="26"/>
  <c r="J167" i="26"/>
  <c r="H66" i="19"/>
  <c r="J66" i="19"/>
  <c r="I70" i="19"/>
  <c r="O23" i="21"/>
  <c r="O24" i="21"/>
  <c r="D141" i="21"/>
  <c r="Q22" i="19"/>
  <c r="Q21" i="19"/>
  <c r="Q24" i="21"/>
  <c r="Q23" i="21"/>
  <c r="H82" i="27"/>
  <c r="G70" i="28"/>
  <c r="G199" i="21"/>
  <c r="K161" i="27"/>
  <c r="K163" i="27" s="1"/>
  <c r="G161" i="27"/>
  <c r="J161" i="27"/>
  <c r="F161" i="27"/>
  <c r="F163" i="27" s="1"/>
  <c r="D212" i="27"/>
  <c r="I161" i="27"/>
  <c r="E161" i="27"/>
  <c r="E163" i="27" s="1"/>
  <c r="J139" i="27"/>
  <c r="F139" i="27"/>
  <c r="H161" i="27"/>
  <c r="I139" i="27"/>
  <c r="E139" i="27"/>
  <c r="H139" i="27"/>
  <c r="K139" i="27"/>
  <c r="K141" i="27" s="1"/>
  <c r="G139" i="27"/>
  <c r="O60" i="27"/>
  <c r="F64" i="27"/>
  <c r="I144" i="27"/>
  <c r="K211" i="25"/>
  <c r="J148" i="25"/>
  <c r="D141" i="26"/>
  <c r="P24" i="17"/>
  <c r="Q24" i="17" s="1"/>
  <c r="Q30" i="17" s="1"/>
  <c r="Q9" i="17"/>
  <c r="Q15" i="17" s="1"/>
  <c r="I148" i="25"/>
  <c r="J211" i="25"/>
  <c r="H211" i="25"/>
  <c r="H214" i="25" s="1"/>
  <c r="G148" i="25"/>
  <c r="J64" i="25"/>
  <c r="F80" i="21"/>
  <c r="F84" i="21" s="1"/>
  <c r="G84" i="21"/>
  <c r="E224" i="26"/>
  <c r="D164" i="26"/>
  <c r="I224" i="26"/>
  <c r="F73" i="25"/>
  <c r="F67" i="25"/>
  <c r="O61" i="25"/>
  <c r="F58" i="25"/>
  <c r="G55" i="25"/>
  <c r="J167" i="28"/>
  <c r="K225" i="28"/>
  <c r="F167" i="28"/>
  <c r="G225" i="28"/>
  <c r="D186" i="19"/>
  <c r="D145" i="19"/>
  <c r="H186" i="19"/>
  <c r="H145" i="19"/>
  <c r="I162" i="26"/>
  <c r="E162" i="26"/>
  <c r="I139" i="26"/>
  <c r="E139" i="26"/>
  <c r="H162" i="26"/>
  <c r="H164" i="26" s="1"/>
  <c r="H139" i="26"/>
  <c r="K162" i="26"/>
  <c r="K164" i="26" s="1"/>
  <c r="G162" i="26"/>
  <c r="G164" i="26" s="1"/>
  <c r="K139" i="26"/>
  <c r="G139" i="26"/>
  <c r="D213" i="26"/>
  <c r="J162" i="26"/>
  <c r="J139" i="26"/>
  <c r="F162" i="26"/>
  <c r="F139" i="26"/>
  <c r="H210" i="15"/>
  <c r="F192" i="26"/>
  <c r="G192" i="26" s="1"/>
  <c r="K141" i="26"/>
  <c r="H70" i="26"/>
  <c r="J67" i="25"/>
  <c r="H82" i="19"/>
  <c r="H213" i="28"/>
  <c r="G145" i="28"/>
  <c r="I213" i="28"/>
  <c r="H145" i="28"/>
  <c r="O62" i="21"/>
  <c r="F66" i="21"/>
  <c r="G224" i="28"/>
  <c r="K224" i="28"/>
  <c r="F67" i="27"/>
  <c r="O61" i="27"/>
  <c r="F73" i="27"/>
  <c r="G55" i="27"/>
  <c r="F58" i="27"/>
  <c r="J14" i="19"/>
  <c r="I14" i="19"/>
  <c r="J121" i="26"/>
  <c r="J119" i="26"/>
  <c r="E222" i="15"/>
  <c r="D165" i="15"/>
  <c r="G225" i="25"/>
  <c r="F167" i="25"/>
  <c r="J225" i="25"/>
  <c r="I167" i="25"/>
  <c r="F221" i="15"/>
  <c r="K221" i="15"/>
  <c r="J78" i="15"/>
  <c r="J126" i="21"/>
  <c r="J165" i="21"/>
  <c r="J166" i="21" s="1"/>
  <c r="J124" i="21"/>
  <c r="H165" i="21"/>
  <c r="H166" i="21" s="1"/>
  <c r="H144" i="21"/>
  <c r="H145" i="21" s="1"/>
  <c r="H68" i="28"/>
  <c r="J68" i="28"/>
  <c r="K223" i="25"/>
  <c r="J170" i="25"/>
  <c r="H82" i="25"/>
  <c r="K144" i="26"/>
  <c r="K145" i="21"/>
  <c r="F191" i="21"/>
  <c r="G191" i="21" s="1"/>
  <c r="H84" i="21"/>
  <c r="D212" i="25"/>
  <c r="J161" i="25"/>
  <c r="F161" i="25"/>
  <c r="K139" i="25"/>
  <c r="G139" i="25"/>
  <c r="G141" i="25" s="1"/>
  <c r="H161" i="25"/>
  <c r="I139" i="25"/>
  <c r="E139" i="25"/>
  <c r="E141" i="25" s="1"/>
  <c r="E161" i="25"/>
  <c r="E163" i="25" s="1"/>
  <c r="F139" i="25"/>
  <c r="F141" i="25" s="1"/>
  <c r="K161" i="25"/>
  <c r="K163" i="25" s="1"/>
  <c r="I161" i="25"/>
  <c r="J139" i="25"/>
  <c r="G161" i="25"/>
  <c r="H139" i="25"/>
  <c r="H141" i="25" s="1"/>
  <c r="K213" i="25"/>
  <c r="J145" i="25"/>
  <c r="J64" i="27"/>
  <c r="H64" i="15"/>
  <c r="P59" i="15"/>
  <c r="O60" i="15"/>
  <c r="F64" i="15"/>
  <c r="F78" i="19"/>
  <c r="F82" i="19" s="1"/>
  <c r="G82" i="19"/>
  <c r="H74" i="15"/>
  <c r="J74" i="15"/>
  <c r="H163" i="25"/>
  <c r="I224" i="25"/>
  <c r="D163" i="25"/>
  <c r="E224" i="25"/>
  <c r="D225" i="28"/>
  <c r="E192" i="28"/>
  <c r="E200" i="28" s="1"/>
  <c r="G200" i="28" s="1"/>
  <c r="G58" i="19"/>
  <c r="J55" i="19"/>
  <c r="J58" i="19" s="1"/>
  <c r="J120" i="27"/>
  <c r="J166" i="27"/>
  <c r="I166" i="27"/>
  <c r="J124" i="15"/>
  <c r="J164" i="15"/>
  <c r="J122" i="15"/>
  <c r="H164" i="15"/>
  <c r="F68" i="27"/>
  <c r="G74" i="27"/>
  <c r="G169" i="19"/>
  <c r="G134" i="19"/>
  <c r="D169" i="19"/>
  <c r="D134" i="19"/>
  <c r="H129" i="25"/>
  <c r="H130" i="25" s="1"/>
  <c r="H82" i="28"/>
  <c r="J107" i="26"/>
  <c r="G140" i="26"/>
  <c r="J105" i="26"/>
  <c r="E140" i="26"/>
  <c r="H82" i="15"/>
  <c r="H73" i="26"/>
  <c r="J73" i="26"/>
  <c r="O60" i="26"/>
  <c r="F64" i="26"/>
  <c r="F144" i="26"/>
  <c r="H144" i="26"/>
  <c r="K90" i="29"/>
  <c r="E16" i="29"/>
  <c r="L16" i="29"/>
  <c r="H64" i="28"/>
  <c r="P59" i="28"/>
  <c r="H142" i="15"/>
  <c r="I142" i="15"/>
  <c r="E223" i="27"/>
  <c r="D163" i="27"/>
  <c r="H223" i="27"/>
  <c r="G163" i="27"/>
  <c r="G60" i="21"/>
  <c r="J57" i="21"/>
  <c r="J60" i="21" s="1"/>
  <c r="G167" i="26"/>
  <c r="O21" i="19"/>
  <c r="O22" i="19"/>
  <c r="H66" i="15"/>
  <c r="J66" i="15"/>
  <c r="I70" i="15"/>
  <c r="H72" i="19"/>
  <c r="J72" i="19"/>
  <c r="I76" i="19"/>
  <c r="H74" i="21"/>
  <c r="J74" i="21"/>
  <c r="I78" i="21"/>
  <c r="J67" i="28"/>
  <c r="E136" i="28"/>
  <c r="E158" i="28"/>
  <c r="J105" i="27"/>
  <c r="E140" i="27"/>
  <c r="J107" i="27"/>
  <c r="G140" i="27"/>
  <c r="F66" i="27"/>
  <c r="G72" i="27"/>
  <c r="J66" i="27"/>
  <c r="G70" i="27"/>
  <c r="I211" i="25"/>
  <c r="H148" i="25"/>
  <c r="E16" i="17"/>
  <c r="L16" i="17"/>
  <c r="G83" i="28"/>
  <c r="G83" i="25"/>
  <c r="G83" i="26"/>
  <c r="G83" i="27"/>
  <c r="D135" i="27" s="1"/>
  <c r="G85" i="21"/>
  <c r="G83" i="15"/>
  <c r="D155" i="15" s="1"/>
  <c r="G83" i="19"/>
  <c r="D181" i="19" s="1"/>
  <c r="G211" i="25"/>
  <c r="G214" i="25" s="1"/>
  <c r="F148" i="25"/>
  <c r="H64" i="25"/>
  <c r="P59" i="25"/>
  <c r="H64" i="19"/>
  <c r="P59" i="19"/>
  <c r="O60" i="19"/>
  <c r="F64" i="19"/>
  <c r="E164" i="26"/>
  <c r="F224" i="26"/>
  <c r="I164" i="26"/>
  <c r="J224" i="26"/>
  <c r="J69" i="25"/>
  <c r="G75" i="25"/>
  <c r="F69" i="25"/>
  <c r="I141" i="25"/>
  <c r="J212" i="25"/>
  <c r="H225" i="28"/>
  <c r="G167" i="28"/>
  <c r="E186" i="19"/>
  <c r="E145" i="19"/>
  <c r="I186" i="19"/>
  <c r="I145" i="19"/>
  <c r="G74" i="25"/>
  <c r="F68" i="25"/>
  <c r="E210" i="15"/>
  <c r="D139" i="15"/>
  <c r="I210" i="15"/>
  <c r="H82" i="26"/>
  <c r="I70" i="26"/>
  <c r="F192" i="25"/>
  <c r="G192" i="25" s="1"/>
  <c r="K145" i="25"/>
  <c r="J82" i="19"/>
  <c r="D224" i="28"/>
  <c r="E191" i="28"/>
  <c r="E199" i="28" s="1"/>
  <c r="G199" i="28" s="1"/>
  <c r="E213" i="28"/>
  <c r="D145" i="28"/>
  <c r="I145" i="28"/>
  <c r="J213" i="28"/>
  <c r="H64" i="26"/>
  <c r="P59" i="26"/>
  <c r="K160" i="21"/>
  <c r="G160" i="21"/>
  <c r="G162" i="21" s="1"/>
  <c r="K139" i="21"/>
  <c r="G139" i="21"/>
  <c r="G141" i="21" s="1"/>
  <c r="J160" i="21"/>
  <c r="J162" i="21" s="1"/>
  <c r="F160" i="21"/>
  <c r="F162" i="21" s="1"/>
  <c r="J139" i="21"/>
  <c r="F139" i="21"/>
  <c r="F141" i="21" s="1"/>
  <c r="I160" i="21"/>
  <c r="I162" i="21" s="1"/>
  <c r="E160" i="21"/>
  <c r="E162" i="21" s="1"/>
  <c r="I139" i="21"/>
  <c r="E139" i="21"/>
  <c r="H160" i="21"/>
  <c r="H139" i="21"/>
  <c r="H224" i="28"/>
  <c r="G75" i="26"/>
  <c r="F69" i="26"/>
  <c r="J69" i="26"/>
  <c r="J70" i="26" s="1"/>
  <c r="J123" i="26"/>
  <c r="F225" i="25"/>
  <c r="E167" i="25"/>
  <c r="H225" i="25"/>
  <c r="G167" i="25"/>
  <c r="G221" i="15"/>
  <c r="H221" i="15"/>
  <c r="H129" i="28"/>
  <c r="H130" i="28" s="1"/>
  <c r="G223" i="25"/>
  <c r="F170" i="25"/>
  <c r="H223" i="25"/>
  <c r="G170" i="25"/>
  <c r="J82" i="25"/>
  <c r="J84" i="21"/>
  <c r="G72" i="25"/>
  <c r="F66" i="25"/>
  <c r="F70" i="25" s="1"/>
  <c r="G70" i="25"/>
  <c r="J66" i="25"/>
  <c r="J70" i="25" s="1"/>
  <c r="E213" i="25"/>
  <c r="D145" i="25"/>
  <c r="I213" i="25"/>
  <c r="H145" i="25"/>
  <c r="E189" i="15"/>
  <c r="E197" i="15" s="1"/>
  <c r="D221" i="15"/>
  <c r="J76" i="21"/>
  <c r="H76" i="21"/>
  <c r="K224" i="25"/>
  <c r="J163" i="25"/>
  <c r="G224" i="25"/>
  <c r="F163" i="25"/>
  <c r="G54" i="28"/>
  <c r="J51" i="28"/>
  <c r="J54" i="28" s="1"/>
  <c r="J124" i="27"/>
  <c r="J122" i="27"/>
  <c r="D167" i="27"/>
  <c r="E224" i="27"/>
  <c r="K212" i="25"/>
  <c r="J141" i="25"/>
  <c r="H169" i="19"/>
  <c r="H134" i="19"/>
  <c r="E169" i="19"/>
  <c r="E134" i="19"/>
  <c r="J68" i="15"/>
  <c r="H68" i="15"/>
  <c r="J82" i="28"/>
  <c r="J106" i="26"/>
  <c r="F140" i="26"/>
  <c r="J109" i="26"/>
  <c r="I140" i="26"/>
  <c r="H130" i="21"/>
  <c r="J73" i="25"/>
  <c r="H73" i="25"/>
  <c r="G144" i="26"/>
  <c r="I144" i="26"/>
  <c r="E212" i="25"/>
  <c r="D141" i="25"/>
  <c r="P24" i="29"/>
  <c r="Q24" i="29" s="1"/>
  <c r="Q30" i="29" s="1"/>
  <c r="Q9" i="29"/>
  <c r="Q15" i="29" s="1"/>
  <c r="I76" i="25"/>
  <c r="J142" i="15"/>
  <c r="K223" i="27"/>
  <c r="J163" i="27"/>
  <c r="I166" i="26"/>
  <c r="E166" i="26"/>
  <c r="E168" i="26" s="1"/>
  <c r="I143" i="26"/>
  <c r="E143" i="26"/>
  <c r="H166" i="26"/>
  <c r="H143" i="26"/>
  <c r="K166" i="26"/>
  <c r="K168" i="26" s="1"/>
  <c r="G166" i="26"/>
  <c r="K143" i="26"/>
  <c r="G143" i="26"/>
  <c r="J166" i="26"/>
  <c r="D214" i="26"/>
  <c r="F166" i="26"/>
  <c r="F168" i="26" s="1"/>
  <c r="J143" i="26"/>
  <c r="F143" i="26"/>
  <c r="G75" i="28"/>
  <c r="F69" i="28"/>
  <c r="J69" i="28"/>
  <c r="J53" i="21"/>
  <c r="J56" i="21" s="1"/>
  <c r="N60" i="21" s="1"/>
  <c r="N61" i="21" s="1"/>
  <c r="G56" i="21"/>
  <c r="J212" i="28"/>
  <c r="H167" i="26"/>
  <c r="G74" i="28"/>
  <c r="F68" i="28"/>
  <c r="H68" i="21"/>
  <c r="J68" i="21"/>
  <c r="I72" i="21"/>
  <c r="J141" i="21"/>
  <c r="E141" i="21"/>
  <c r="Q22" i="15"/>
  <c r="Q21" i="15"/>
  <c r="J82" i="27"/>
  <c r="H70" i="28"/>
  <c r="F71" i="28"/>
  <c r="G76" i="28"/>
  <c r="J71" i="28"/>
  <c r="G158" i="28"/>
  <c r="H136" i="28"/>
  <c r="I158" i="28"/>
  <c r="J158" i="28"/>
  <c r="J106" i="27"/>
  <c r="F140" i="27"/>
  <c r="J109" i="27"/>
  <c r="I140" i="27"/>
  <c r="H128" i="15"/>
  <c r="D223" i="27"/>
  <c r="E191" i="27"/>
  <c r="E199" i="27" s="1"/>
  <c r="G199" i="27" s="1"/>
  <c r="E213" i="27"/>
  <c r="D145" i="27"/>
  <c r="D39" i="17"/>
  <c r="E39" i="17" s="1"/>
  <c r="E45" i="17" s="1"/>
  <c r="E24" i="17"/>
  <c r="E30" i="17" s="1"/>
  <c r="H76" i="26"/>
  <c r="K224" i="26"/>
  <c r="J164" i="26"/>
  <c r="G224" i="26"/>
  <c r="F164" i="26"/>
  <c r="G54" i="15"/>
  <c r="J51" i="15"/>
  <c r="J54" i="15" s="1"/>
  <c r="N58" i="15" s="1"/>
  <c r="N59" i="15" s="1"/>
  <c r="H167" i="28"/>
  <c r="I225" i="28"/>
  <c r="D167" i="28"/>
  <c r="E225" i="28"/>
  <c r="H162" i="21"/>
  <c r="F186" i="19"/>
  <c r="F145" i="19"/>
  <c r="K161" i="21"/>
  <c r="K160" i="15"/>
  <c r="F216" i="19"/>
  <c r="G216" i="19" s="1"/>
  <c r="J186" i="19"/>
  <c r="J145" i="19"/>
  <c r="F210" i="15"/>
  <c r="J210" i="15"/>
  <c r="J161" i="28"/>
  <c r="J163" i="28" s="1"/>
  <c r="F161" i="28"/>
  <c r="F163" i="28" s="1"/>
  <c r="J139" i="28"/>
  <c r="J141" i="28" s="1"/>
  <c r="F139" i="28"/>
  <c r="F141" i="28" s="1"/>
  <c r="D212" i="28"/>
  <c r="I161" i="28"/>
  <c r="I163" i="28" s="1"/>
  <c r="E161" i="28"/>
  <c r="E163" i="28" s="1"/>
  <c r="H161" i="28"/>
  <c r="H139" i="28"/>
  <c r="H141" i="28" s="1"/>
  <c r="I139" i="28"/>
  <c r="I141" i="28" s="1"/>
  <c r="K161" i="28"/>
  <c r="K163" i="28" s="1"/>
  <c r="G139" i="28"/>
  <c r="G141" i="28" s="1"/>
  <c r="G161" i="28"/>
  <c r="G163" i="28" s="1"/>
  <c r="E139" i="28"/>
  <c r="E141" i="28" s="1"/>
  <c r="K139" i="28"/>
  <c r="D164" i="19"/>
  <c r="E145" i="28"/>
  <c r="F213" i="28"/>
  <c r="J145" i="28"/>
  <c r="K213" i="28"/>
  <c r="E212" i="27"/>
  <c r="D141" i="27"/>
  <c r="I172" i="19"/>
  <c r="I135" i="19"/>
  <c r="J64" i="26"/>
  <c r="D163" i="28"/>
  <c r="E224" i="28"/>
  <c r="H163" i="28"/>
  <c r="I224" i="28"/>
  <c r="J120" i="26"/>
  <c r="H167" i="25"/>
  <c r="I225" i="25"/>
  <c r="I221" i="15"/>
  <c r="E221" i="15"/>
  <c r="D161" i="15"/>
  <c r="J123" i="21"/>
  <c r="G165" i="21"/>
  <c r="G166" i="21" s="1"/>
  <c r="G144" i="21"/>
  <c r="G145" i="21" s="1"/>
  <c r="J121" i="21"/>
  <c r="E165" i="21"/>
  <c r="E166" i="21" s="1"/>
  <c r="E144" i="21"/>
  <c r="E145" i="21" s="1"/>
  <c r="J68" i="27"/>
  <c r="H68" i="27"/>
  <c r="H70" i="27" s="1"/>
  <c r="G74" i="26"/>
  <c r="F68" i="26"/>
  <c r="F223" i="25"/>
  <c r="F226" i="25" s="1"/>
  <c r="E170" i="25"/>
  <c r="J223" i="25"/>
  <c r="I170" i="25"/>
  <c r="F190" i="15"/>
  <c r="G190" i="15" s="1"/>
  <c r="K143" i="15"/>
  <c r="I145" i="25"/>
  <c r="J213" i="25"/>
  <c r="E145" i="25"/>
  <c r="F213" i="25"/>
  <c r="F191" i="28"/>
  <c r="G191" i="28" s="1"/>
  <c r="K141" i="28"/>
  <c r="W62" i="24"/>
  <c r="Q16" i="24"/>
  <c r="J64" i="15"/>
  <c r="D210" i="15"/>
  <c r="H159" i="15"/>
  <c r="H161" i="15" s="1"/>
  <c r="H137" i="15"/>
  <c r="H139" i="15" s="1"/>
  <c r="K159" i="15"/>
  <c r="G159" i="15"/>
  <c r="G161" i="15" s="1"/>
  <c r="K137" i="15"/>
  <c r="G137" i="15"/>
  <c r="G139" i="15" s="1"/>
  <c r="J159" i="15"/>
  <c r="J161" i="15" s="1"/>
  <c r="F159" i="15"/>
  <c r="F161" i="15" s="1"/>
  <c r="J137" i="15"/>
  <c r="J139" i="15" s="1"/>
  <c r="F137" i="15"/>
  <c r="F139" i="15" s="1"/>
  <c r="I159" i="15"/>
  <c r="I161" i="15" s="1"/>
  <c r="E159" i="15"/>
  <c r="E161" i="15" s="1"/>
  <c r="I137" i="15"/>
  <c r="I139" i="15" s="1"/>
  <c r="E137" i="15"/>
  <c r="E139" i="15" s="1"/>
  <c r="J74" i="19"/>
  <c r="H74" i="19"/>
  <c r="J224" i="25"/>
  <c r="I163" i="25"/>
  <c r="H224" i="25"/>
  <c r="G163" i="25"/>
  <c r="F73" i="28"/>
  <c r="F67" i="28"/>
  <c r="F70" i="28" s="1"/>
  <c r="O61" i="28"/>
  <c r="G75" i="27"/>
  <c r="J69" i="27"/>
  <c r="F69" i="27"/>
  <c r="G55" i="28"/>
  <c r="F58" i="28"/>
  <c r="N4" i="21"/>
  <c r="N5" i="21" s="1"/>
  <c r="P6" i="21" s="1"/>
  <c r="J14" i="21"/>
  <c r="D16" i="21"/>
  <c r="I14" i="21"/>
  <c r="D15" i="21"/>
  <c r="J119" i="27"/>
  <c r="J121" i="27"/>
  <c r="H167" i="27"/>
  <c r="I224" i="27"/>
  <c r="E166" i="27"/>
  <c r="J119" i="15"/>
  <c r="E164" i="15"/>
  <c r="J121" i="15"/>
  <c r="G164" i="15"/>
  <c r="I169" i="19"/>
  <c r="I134" i="19"/>
  <c r="F169" i="19"/>
  <c r="F134" i="19"/>
  <c r="J68" i="19"/>
  <c r="H68" i="19"/>
  <c r="J70" i="21"/>
  <c r="H70" i="21"/>
  <c r="J67" i="27"/>
  <c r="J110" i="26"/>
  <c r="J140" i="26"/>
  <c r="J108" i="26"/>
  <c r="H140" i="26"/>
  <c r="J82" i="15"/>
  <c r="J73" i="28"/>
  <c r="H73" i="28"/>
  <c r="H76" i="28" s="1"/>
  <c r="G72" i="26"/>
  <c r="F66" i="26"/>
  <c r="F70" i="26" s="1"/>
  <c r="G70" i="26"/>
  <c r="D135" i="25"/>
  <c r="D145" i="26"/>
  <c r="E214" i="26"/>
  <c r="J144" i="26"/>
  <c r="F191" i="25"/>
  <c r="G191" i="25" s="1"/>
  <c r="K141" i="25"/>
  <c r="J64" i="28"/>
  <c r="S22" i="19"/>
  <c r="H76" i="25"/>
  <c r="F142" i="15"/>
  <c r="J223" i="27"/>
  <c r="I163" i="27"/>
  <c r="I223" i="27"/>
  <c r="H163" i="27"/>
  <c r="E193" i="26"/>
  <c r="E201" i="26" s="1"/>
  <c r="G201" i="26" s="1"/>
  <c r="D225" i="26"/>
  <c r="G54" i="26"/>
  <c r="J51" i="26"/>
  <c r="J54" i="26" s="1"/>
  <c r="E225" i="26"/>
  <c r="D168" i="26"/>
  <c r="I167" i="26"/>
  <c r="O21" i="15"/>
  <c r="O22" i="15"/>
  <c r="I141" i="21"/>
  <c r="H141" i="21"/>
  <c r="J72" i="15"/>
  <c r="J76" i="15" s="1"/>
  <c r="H72" i="15"/>
  <c r="H76" i="15" s="1"/>
  <c r="I76" i="15"/>
  <c r="I70" i="28"/>
  <c r="J70" i="28"/>
  <c r="G136" i="28"/>
  <c r="F136" i="28"/>
  <c r="J110" i="27"/>
  <c r="J140" i="27"/>
  <c r="J108" i="27"/>
  <c r="H140" i="27"/>
  <c r="E144" i="27"/>
  <c r="F144" i="27"/>
  <c r="K157" i="27" l="1"/>
  <c r="K169" i="27" s="1"/>
  <c r="G157" i="27"/>
  <c r="G169" i="27" s="1"/>
  <c r="J157" i="27"/>
  <c r="J169" i="27" s="1"/>
  <c r="F157" i="27"/>
  <c r="F169" i="27" s="1"/>
  <c r="D211" i="27"/>
  <c r="D214" i="27" s="1"/>
  <c r="I157" i="27"/>
  <c r="I169" i="27" s="1"/>
  <c r="E157" i="27"/>
  <c r="E169" i="27" s="1"/>
  <c r="D169" i="27"/>
  <c r="D147" i="27"/>
  <c r="J135" i="27"/>
  <c r="J147" i="27" s="1"/>
  <c r="F135" i="27"/>
  <c r="F147" i="27" s="1"/>
  <c r="I135" i="27"/>
  <c r="I147" i="27" s="1"/>
  <c r="E135" i="27"/>
  <c r="E147" i="27" s="1"/>
  <c r="H135" i="27"/>
  <c r="H147" i="27" s="1"/>
  <c r="H157" i="27"/>
  <c r="H169" i="27" s="1"/>
  <c r="K135" i="27"/>
  <c r="K147" i="27" s="1"/>
  <c r="G135" i="27"/>
  <c r="G147" i="27" s="1"/>
  <c r="E188" i="15"/>
  <c r="D220" i="15"/>
  <c r="D223" i="15" s="1"/>
  <c r="F72" i="26"/>
  <c r="G76" i="26"/>
  <c r="J72" i="26"/>
  <c r="H141" i="26"/>
  <c r="I213" i="26"/>
  <c r="F222" i="15"/>
  <c r="E165" i="15"/>
  <c r="F75" i="27"/>
  <c r="J75" i="27"/>
  <c r="F74" i="26"/>
  <c r="J74" i="26"/>
  <c r="F197" i="15"/>
  <c r="G197" i="15" s="1"/>
  <c r="K161" i="15"/>
  <c r="E31" i="17"/>
  <c r="I83" i="15"/>
  <c r="I85" i="21"/>
  <c r="I83" i="19"/>
  <c r="I170" i="28"/>
  <c r="J223" i="28"/>
  <c r="J226" i="28" s="1"/>
  <c r="H72" i="21"/>
  <c r="K211" i="15"/>
  <c r="J143" i="15"/>
  <c r="H226" i="25"/>
  <c r="F74" i="25"/>
  <c r="J74" i="25"/>
  <c r="F150" i="25"/>
  <c r="G95" i="21"/>
  <c r="G96" i="21"/>
  <c r="G97" i="21"/>
  <c r="G93" i="21"/>
  <c r="G130" i="21" s="1"/>
  <c r="F85" i="21"/>
  <c r="G98" i="21"/>
  <c r="G94" i="21"/>
  <c r="D156" i="21"/>
  <c r="E189" i="21" s="1"/>
  <c r="D135" i="21"/>
  <c r="G96" i="28"/>
  <c r="J96" i="28" s="1"/>
  <c r="G92" i="28"/>
  <c r="J92" i="28" s="1"/>
  <c r="G93" i="28"/>
  <c r="J93" i="28" s="1"/>
  <c r="F83" i="28"/>
  <c r="G94" i="28"/>
  <c r="J94" i="28" s="1"/>
  <c r="G95" i="28"/>
  <c r="J95" i="28" s="1"/>
  <c r="G91" i="28"/>
  <c r="J91" i="28" s="1"/>
  <c r="D157" i="28"/>
  <c r="D135" i="28"/>
  <c r="J70" i="27"/>
  <c r="E148" i="28"/>
  <c r="F211" i="28"/>
  <c r="F214" i="28" s="1"/>
  <c r="J211" i="15"/>
  <c r="I143" i="15"/>
  <c r="G214" i="26"/>
  <c r="F145" i="26"/>
  <c r="G141" i="26"/>
  <c r="H213" i="26"/>
  <c r="H165" i="15"/>
  <c r="I222" i="15"/>
  <c r="J224" i="27"/>
  <c r="I167" i="27"/>
  <c r="K145" i="26"/>
  <c r="F193" i="26"/>
  <c r="G193" i="26" s="1"/>
  <c r="K226" i="25"/>
  <c r="H215" i="25"/>
  <c r="W90" i="17"/>
  <c r="Q16" i="17"/>
  <c r="G84" i="25"/>
  <c r="G84" i="26"/>
  <c r="G84" i="28"/>
  <c r="G84" i="27"/>
  <c r="G86" i="21"/>
  <c r="F86" i="21" s="1"/>
  <c r="G84" i="15"/>
  <c r="F84" i="15" s="1"/>
  <c r="G84" i="19"/>
  <c r="F84" i="19" s="1"/>
  <c r="K141" i="21"/>
  <c r="F190" i="21"/>
  <c r="G190" i="21" s="1"/>
  <c r="D133" i="15"/>
  <c r="G226" i="28"/>
  <c r="K214" i="28"/>
  <c r="G192" i="28"/>
  <c r="J141" i="27"/>
  <c r="K212" i="27"/>
  <c r="F213" i="27"/>
  <c r="E145" i="27"/>
  <c r="I168" i="26"/>
  <c r="J225" i="26"/>
  <c r="D211" i="25"/>
  <c r="D214" i="25" s="1"/>
  <c r="D215" i="25" s="1"/>
  <c r="J157" i="25"/>
  <c r="F157" i="25"/>
  <c r="K135" i="25"/>
  <c r="K147" i="25" s="1"/>
  <c r="G135" i="25"/>
  <c r="D169" i="25"/>
  <c r="B174" i="25" s="1"/>
  <c r="H157" i="25"/>
  <c r="I135" i="25"/>
  <c r="E135" i="25"/>
  <c r="E157" i="25"/>
  <c r="F135" i="25"/>
  <c r="K157" i="25"/>
  <c r="K169" i="25" s="1"/>
  <c r="D147" i="25"/>
  <c r="I157" i="25"/>
  <c r="J135" i="25"/>
  <c r="H135" i="25"/>
  <c r="G157" i="25"/>
  <c r="G58" i="28"/>
  <c r="J55" i="28"/>
  <c r="J58" i="28" s="1"/>
  <c r="D190" i="19"/>
  <c r="G181" i="19"/>
  <c r="G190" i="19" s="1"/>
  <c r="J181" i="19"/>
  <c r="J190" i="19" s="1"/>
  <c r="F181" i="19"/>
  <c r="F190" i="19" s="1"/>
  <c r="E207" i="19"/>
  <c r="I181" i="19"/>
  <c r="I190" i="19" s="1"/>
  <c r="E181" i="19"/>
  <c r="E190" i="19" s="1"/>
  <c r="H181" i="19"/>
  <c r="H190" i="19" s="1"/>
  <c r="D173" i="19"/>
  <c r="I164" i="19"/>
  <c r="I173" i="19" s="1"/>
  <c r="E164" i="19"/>
  <c r="E173" i="19" s="1"/>
  <c r="H164" i="19"/>
  <c r="H173" i="19" s="1"/>
  <c r="C133" i="19"/>
  <c r="G164" i="19"/>
  <c r="G173" i="19" s="1"/>
  <c r="J164" i="19"/>
  <c r="J173" i="19" s="1"/>
  <c r="F164" i="19"/>
  <c r="F173" i="19" s="1"/>
  <c r="C144" i="19"/>
  <c r="K162" i="21"/>
  <c r="F198" i="21"/>
  <c r="G198" i="21" s="1"/>
  <c r="E46" i="17"/>
  <c r="O93" i="17"/>
  <c r="I86" i="21"/>
  <c r="I84" i="15"/>
  <c r="I84" i="19"/>
  <c r="G212" i="27"/>
  <c r="F141" i="27"/>
  <c r="I211" i="28"/>
  <c r="I214" i="28" s="1"/>
  <c r="H148" i="28"/>
  <c r="G213" i="26"/>
  <c r="F141" i="26"/>
  <c r="G215" i="25"/>
  <c r="G218" i="25" s="1"/>
  <c r="G236" i="25"/>
  <c r="G216" i="25"/>
  <c r="G217" i="25" s="1"/>
  <c r="G93" i="27"/>
  <c r="J93" i="27" s="1"/>
  <c r="F83" i="27"/>
  <c r="G94" i="27"/>
  <c r="J94" i="27" s="1"/>
  <c r="G95" i="27"/>
  <c r="J95" i="27" s="1"/>
  <c r="G91" i="27"/>
  <c r="J91" i="27" s="1"/>
  <c r="G96" i="27"/>
  <c r="J96" i="27" s="1"/>
  <c r="G92" i="27"/>
  <c r="J92" i="27" s="1"/>
  <c r="I214" i="25"/>
  <c r="F72" i="27"/>
  <c r="J72" i="27"/>
  <c r="G76" i="27"/>
  <c r="F212" i="27"/>
  <c r="E141" i="27"/>
  <c r="J76" i="19"/>
  <c r="J70" i="15"/>
  <c r="H225" i="26"/>
  <c r="G168" i="26"/>
  <c r="I211" i="15"/>
  <c r="H143" i="15"/>
  <c r="K224" i="27"/>
  <c r="J167" i="27"/>
  <c r="J214" i="25"/>
  <c r="R31" i="17"/>
  <c r="Q31" i="17"/>
  <c r="Y30" i="17"/>
  <c r="Y31" i="17" s="1"/>
  <c r="I83" i="28"/>
  <c r="I83" i="25"/>
  <c r="I83" i="26"/>
  <c r="I83" i="27"/>
  <c r="J70" i="19"/>
  <c r="G58" i="26"/>
  <c r="J55" i="26"/>
  <c r="J58" i="26" s="1"/>
  <c r="N58" i="26" s="1"/>
  <c r="N59" i="26" s="1"/>
  <c r="O92" i="29"/>
  <c r="E46" i="29"/>
  <c r="O93" i="29"/>
  <c r="J222" i="15"/>
  <c r="I165" i="15"/>
  <c r="H224" i="27"/>
  <c r="G167" i="27"/>
  <c r="E31" i="24"/>
  <c r="F31" i="24"/>
  <c r="F32" i="24" s="1"/>
  <c r="G191" i="27"/>
  <c r="N58" i="19"/>
  <c r="N59" i="19" s="1"/>
  <c r="I226" i="28"/>
  <c r="G211" i="15"/>
  <c r="F143" i="15"/>
  <c r="I212" i="27"/>
  <c r="H141" i="27"/>
  <c r="F148" i="28"/>
  <c r="G211" i="28"/>
  <c r="G214" i="28" s="1"/>
  <c r="K214" i="26"/>
  <c r="J145" i="26"/>
  <c r="K213" i="26"/>
  <c r="J141" i="26"/>
  <c r="G165" i="15"/>
  <c r="H222" i="15"/>
  <c r="F224" i="27"/>
  <c r="E167" i="27"/>
  <c r="H223" i="28"/>
  <c r="H226" i="28" s="1"/>
  <c r="G170" i="28"/>
  <c r="F74" i="28"/>
  <c r="J74" i="28"/>
  <c r="F75" i="28"/>
  <c r="J75" i="28"/>
  <c r="W90" i="29"/>
  <c r="Q16" i="29"/>
  <c r="I145" i="26"/>
  <c r="J214" i="26"/>
  <c r="N58" i="28"/>
  <c r="N59" i="28" s="1"/>
  <c r="F172" i="25"/>
  <c r="F75" i="26"/>
  <c r="J75" i="26"/>
  <c r="G93" i="19"/>
  <c r="G94" i="19"/>
  <c r="G95" i="19"/>
  <c r="G91" i="19"/>
  <c r="G128" i="19" s="1"/>
  <c r="F83" i="19"/>
  <c r="G96" i="19"/>
  <c r="G92" i="19"/>
  <c r="G94" i="26"/>
  <c r="J94" i="26" s="1"/>
  <c r="G95" i="26"/>
  <c r="J95" i="26" s="1"/>
  <c r="G91" i="26"/>
  <c r="J91" i="26" s="1"/>
  <c r="G96" i="26"/>
  <c r="J96" i="26" s="1"/>
  <c r="G92" i="26"/>
  <c r="J92" i="26" s="1"/>
  <c r="G93" i="26"/>
  <c r="J93" i="26" s="1"/>
  <c r="F83" i="26"/>
  <c r="D135" i="26"/>
  <c r="D157" i="27"/>
  <c r="F70" i="27"/>
  <c r="J78" i="21"/>
  <c r="H76" i="19"/>
  <c r="H70" i="15"/>
  <c r="E141" i="26"/>
  <c r="F213" i="26"/>
  <c r="F74" i="27"/>
  <c r="J74" i="27"/>
  <c r="K222" i="15"/>
  <c r="J165" i="15"/>
  <c r="G58" i="27"/>
  <c r="J55" i="27"/>
  <c r="J58" i="27" s="1"/>
  <c r="N58" i="27" s="1"/>
  <c r="N59" i="27" s="1"/>
  <c r="G58" i="25"/>
  <c r="J55" i="25"/>
  <c r="J58" i="25" s="1"/>
  <c r="K214" i="25"/>
  <c r="H70" i="19"/>
  <c r="E145" i="26"/>
  <c r="F214" i="26"/>
  <c r="I226" i="25"/>
  <c r="F214" i="25"/>
  <c r="J214" i="28"/>
  <c r="F145" i="27"/>
  <c r="G213" i="27"/>
  <c r="H211" i="28"/>
  <c r="H214" i="28" s="1"/>
  <c r="G148" i="28"/>
  <c r="J226" i="25"/>
  <c r="J212" i="27"/>
  <c r="I141" i="27"/>
  <c r="J170" i="28"/>
  <c r="K223" i="28"/>
  <c r="K226" i="28" s="1"/>
  <c r="J72" i="21"/>
  <c r="I225" i="26"/>
  <c r="H168" i="26"/>
  <c r="R31" i="29"/>
  <c r="Q31" i="29"/>
  <c r="Y30" i="29"/>
  <c r="Y31" i="29" s="1"/>
  <c r="G145" i="26"/>
  <c r="H214" i="26"/>
  <c r="I141" i="26"/>
  <c r="J213" i="26"/>
  <c r="F72" i="25"/>
  <c r="F76" i="25" s="1"/>
  <c r="G76" i="25"/>
  <c r="J72" i="25"/>
  <c r="G226" i="25"/>
  <c r="F75" i="25"/>
  <c r="J75" i="25"/>
  <c r="G96" i="15"/>
  <c r="G92" i="15"/>
  <c r="G93" i="15"/>
  <c r="G94" i="15"/>
  <c r="G95" i="15"/>
  <c r="G91" i="15"/>
  <c r="G128" i="15" s="1"/>
  <c r="F83" i="15"/>
  <c r="G96" i="25"/>
  <c r="J96" i="25" s="1"/>
  <c r="G92" i="25"/>
  <c r="J92" i="25" s="1"/>
  <c r="G94" i="25"/>
  <c r="J94" i="25" s="1"/>
  <c r="G91" i="25"/>
  <c r="J91" i="25" s="1"/>
  <c r="G93" i="25"/>
  <c r="J93" i="25" s="1"/>
  <c r="G95" i="25"/>
  <c r="J95" i="25" s="1"/>
  <c r="F83" i="25"/>
  <c r="H212" i="27"/>
  <c r="G141" i="27"/>
  <c r="E170" i="28"/>
  <c r="F223" i="28"/>
  <c r="F226" i="28" s="1"/>
  <c r="H78" i="21"/>
  <c r="H145" i="26"/>
  <c r="I214" i="26"/>
  <c r="J213" i="27"/>
  <c r="I145" i="27"/>
  <c r="O6" i="21"/>
  <c r="K225" i="26"/>
  <c r="J168" i="26"/>
  <c r="D157" i="25"/>
  <c r="F189" i="15"/>
  <c r="G189" i="15" s="1"/>
  <c r="K139" i="15"/>
  <c r="G222" i="15"/>
  <c r="F165" i="15"/>
  <c r="F72" i="28"/>
  <c r="F76" i="28" s="1"/>
  <c r="J72" i="28"/>
  <c r="J76" i="28" s="1"/>
  <c r="N58" i="25"/>
  <c r="N59" i="25" s="1"/>
  <c r="D223" i="25" l="1"/>
  <c r="D226" i="25" s="1"/>
  <c r="E190" i="25"/>
  <c r="G227" i="25"/>
  <c r="G228" i="25" s="1"/>
  <c r="H215" i="28"/>
  <c r="J215" i="28"/>
  <c r="I158" i="26"/>
  <c r="I170" i="26" s="1"/>
  <c r="E158" i="26"/>
  <c r="E170" i="26" s="1"/>
  <c r="I135" i="26"/>
  <c r="I147" i="26" s="1"/>
  <c r="E135" i="26"/>
  <c r="E147" i="26" s="1"/>
  <c r="D170" i="26"/>
  <c r="H158" i="26"/>
  <c r="H170" i="26" s="1"/>
  <c r="D147" i="26"/>
  <c r="H135" i="26"/>
  <c r="H147" i="26" s="1"/>
  <c r="K158" i="26"/>
  <c r="K170" i="26" s="1"/>
  <c r="G158" i="26"/>
  <c r="G170" i="26" s="1"/>
  <c r="K135" i="26"/>
  <c r="K147" i="26" s="1"/>
  <c r="G135" i="26"/>
  <c r="G147" i="26" s="1"/>
  <c r="D212" i="26"/>
  <c r="D215" i="26" s="1"/>
  <c r="J158" i="26"/>
  <c r="J170" i="26" s="1"/>
  <c r="J135" i="26"/>
  <c r="J147" i="26" s="1"/>
  <c r="F158" i="26"/>
  <c r="F170" i="26" s="1"/>
  <c r="F135" i="26"/>
  <c r="F147" i="26" s="1"/>
  <c r="J83" i="28"/>
  <c r="H83" i="28"/>
  <c r="D158" i="28"/>
  <c r="D136" i="28"/>
  <c r="K136" i="28"/>
  <c r="J216" i="25"/>
  <c r="J217" i="25" s="1"/>
  <c r="J215" i="25"/>
  <c r="J218" i="25" s="1"/>
  <c r="J76" i="27"/>
  <c r="J147" i="25"/>
  <c r="J149" i="25" s="1"/>
  <c r="J137" i="25"/>
  <c r="F147" i="25"/>
  <c r="F149" i="25" s="1"/>
  <c r="F137" i="25"/>
  <c r="H169" i="25"/>
  <c r="H171" i="25" s="1"/>
  <c r="H159" i="25"/>
  <c r="F169" i="25"/>
  <c r="F171" i="25" s="1"/>
  <c r="F159" i="25"/>
  <c r="F84" i="27"/>
  <c r="J84" i="27"/>
  <c r="K227" i="25"/>
  <c r="K228" i="25" s="1"/>
  <c r="E197" i="21"/>
  <c r="E200" i="21" s="1"/>
  <c r="E192" i="21"/>
  <c r="H227" i="25"/>
  <c r="H228" i="25" s="1"/>
  <c r="H85" i="21"/>
  <c r="J85" i="21"/>
  <c r="D157" i="21"/>
  <c r="D136" i="21"/>
  <c r="J227" i="25"/>
  <c r="J228" i="25" s="1"/>
  <c r="D223" i="26"/>
  <c r="D226" i="26" s="1"/>
  <c r="E191" i="26"/>
  <c r="G236" i="28"/>
  <c r="G215" i="28"/>
  <c r="J83" i="27"/>
  <c r="H83" i="27"/>
  <c r="D136" i="27"/>
  <c r="K136" i="27"/>
  <c r="D158" i="27"/>
  <c r="F76" i="27"/>
  <c r="I94" i="19"/>
  <c r="J94" i="19" s="1"/>
  <c r="I95" i="19"/>
  <c r="J95" i="19" s="1"/>
  <c r="I91" i="19"/>
  <c r="J84" i="19"/>
  <c r="I96" i="19"/>
  <c r="J96" i="19" s="1"/>
  <c r="I92" i="19"/>
  <c r="J92" i="19" s="1"/>
  <c r="I93" i="19"/>
  <c r="J93" i="19" s="1"/>
  <c r="H84" i="19"/>
  <c r="C136" i="19"/>
  <c r="C147" i="19"/>
  <c r="E215" i="19"/>
  <c r="E218" i="19" s="1"/>
  <c r="E210" i="19"/>
  <c r="I169" i="25"/>
  <c r="I171" i="25" s="1"/>
  <c r="I159" i="25"/>
  <c r="E169" i="25"/>
  <c r="E171" i="25" s="1"/>
  <c r="E159" i="25"/>
  <c r="J169" i="25"/>
  <c r="J171" i="25" s="1"/>
  <c r="J159" i="25"/>
  <c r="F84" i="28"/>
  <c r="J84" i="28"/>
  <c r="H83" i="15"/>
  <c r="J83" i="15"/>
  <c r="D134" i="15"/>
  <c r="D156" i="15"/>
  <c r="J76" i="26"/>
  <c r="J76" i="25"/>
  <c r="F216" i="25"/>
  <c r="F217" i="25" s="1"/>
  <c r="F215" i="25"/>
  <c r="F218" i="25" s="1"/>
  <c r="H83" i="26"/>
  <c r="J83" i="26"/>
  <c r="D154" i="26"/>
  <c r="K136" i="26"/>
  <c r="D136" i="26"/>
  <c r="E212" i="26" s="1"/>
  <c r="I215" i="25"/>
  <c r="I218" i="25" s="1"/>
  <c r="H236" i="25"/>
  <c r="I216" i="25"/>
  <c r="I217" i="25" s="1"/>
  <c r="I215" i="28"/>
  <c r="H236" i="28"/>
  <c r="I93" i="15"/>
  <c r="H84" i="15"/>
  <c r="I94" i="15"/>
  <c r="I95" i="15"/>
  <c r="I91" i="15"/>
  <c r="J84" i="15"/>
  <c r="I96" i="15"/>
  <c r="I92" i="15"/>
  <c r="G169" i="25"/>
  <c r="G171" i="25" s="1"/>
  <c r="G159" i="25"/>
  <c r="E147" i="25"/>
  <c r="E149" i="25" s="1"/>
  <c r="E137" i="25"/>
  <c r="G147" i="25"/>
  <c r="G149" i="25" s="1"/>
  <c r="G137" i="25"/>
  <c r="K215" i="28"/>
  <c r="D209" i="15"/>
  <c r="D212" i="15" s="1"/>
  <c r="D167" i="15"/>
  <c r="H155" i="15"/>
  <c r="H167" i="15" s="1"/>
  <c r="D145" i="15"/>
  <c r="H133" i="15"/>
  <c r="H145" i="15" s="1"/>
  <c r="K155" i="15"/>
  <c r="K167" i="15" s="1"/>
  <c r="G155" i="15"/>
  <c r="G167" i="15" s="1"/>
  <c r="K133" i="15"/>
  <c r="K145" i="15" s="1"/>
  <c r="G133" i="15"/>
  <c r="G145" i="15" s="1"/>
  <c r="J155" i="15"/>
  <c r="J167" i="15" s="1"/>
  <c r="F155" i="15"/>
  <c r="F167" i="15" s="1"/>
  <c r="J133" i="15"/>
  <c r="J145" i="15" s="1"/>
  <c r="F133" i="15"/>
  <c r="F145" i="15" s="1"/>
  <c r="I155" i="15"/>
  <c r="I167" i="15" s="1"/>
  <c r="E155" i="15"/>
  <c r="E167" i="15" s="1"/>
  <c r="I133" i="15"/>
  <c r="I145" i="15" s="1"/>
  <c r="E133" i="15"/>
  <c r="E145" i="15" s="1"/>
  <c r="F84" i="26"/>
  <c r="J84" i="26"/>
  <c r="H216" i="25"/>
  <c r="H217" i="25" s="1"/>
  <c r="F215" i="28"/>
  <c r="J157" i="28"/>
  <c r="F157" i="28"/>
  <c r="J135" i="28"/>
  <c r="F135" i="28"/>
  <c r="D211" i="28"/>
  <c r="D214" i="28" s="1"/>
  <c r="D215" i="28" s="1"/>
  <c r="I157" i="28"/>
  <c r="E157" i="28"/>
  <c r="D169" i="28"/>
  <c r="H157" i="28"/>
  <c r="D147" i="28"/>
  <c r="H135" i="28"/>
  <c r="G157" i="28"/>
  <c r="I135" i="28"/>
  <c r="G135" i="28"/>
  <c r="E135" i="28"/>
  <c r="K135" i="28"/>
  <c r="K147" i="28" s="1"/>
  <c r="K157" i="28"/>
  <c r="K169" i="28" s="1"/>
  <c r="E196" i="15"/>
  <c r="E199" i="15" s="1"/>
  <c r="E191" i="15"/>
  <c r="I227" i="25"/>
  <c r="I228" i="25" s="1"/>
  <c r="K215" i="25"/>
  <c r="K218" i="25" s="1"/>
  <c r="K216" i="25"/>
  <c r="K217" i="25" s="1"/>
  <c r="K230" i="25" s="1"/>
  <c r="D222" i="27"/>
  <c r="D225" i="27" s="1"/>
  <c r="E190" i="27"/>
  <c r="J83" i="25"/>
  <c r="H83" i="25"/>
  <c r="K136" i="25"/>
  <c r="D136" i="25"/>
  <c r="D158" i="25"/>
  <c r="I96" i="21"/>
  <c r="I97" i="21"/>
  <c r="I93" i="21"/>
  <c r="J86" i="21"/>
  <c r="I98" i="21"/>
  <c r="I94" i="21"/>
  <c r="I95" i="21"/>
  <c r="H86" i="21"/>
  <c r="H147" i="25"/>
  <c r="H149" i="25" s="1"/>
  <c r="H137" i="25"/>
  <c r="I147" i="25"/>
  <c r="I149" i="25" s="1"/>
  <c r="I137" i="25"/>
  <c r="F84" i="25"/>
  <c r="J84" i="25"/>
  <c r="H218" i="25"/>
  <c r="D223" i="28"/>
  <c r="D226" i="28" s="1"/>
  <c r="D236" i="28" s="1"/>
  <c r="E190" i="28"/>
  <c r="K156" i="21"/>
  <c r="K168" i="21" s="1"/>
  <c r="G156" i="21"/>
  <c r="G168" i="21" s="1"/>
  <c r="K135" i="21"/>
  <c r="K147" i="21" s="1"/>
  <c r="G135" i="21"/>
  <c r="G147" i="21" s="1"/>
  <c r="J156" i="21"/>
  <c r="J168" i="21" s="1"/>
  <c r="F156" i="21"/>
  <c r="F168" i="21" s="1"/>
  <c r="J135" i="21"/>
  <c r="J147" i="21" s="1"/>
  <c r="F135" i="21"/>
  <c r="F147" i="21" s="1"/>
  <c r="I156" i="21"/>
  <c r="I168" i="21" s="1"/>
  <c r="E156" i="21"/>
  <c r="E168" i="21" s="1"/>
  <c r="I135" i="21"/>
  <c r="I147" i="21" s="1"/>
  <c r="E135" i="21"/>
  <c r="E147" i="21" s="1"/>
  <c r="D168" i="21"/>
  <c r="H156" i="21"/>
  <c r="H168" i="21" s="1"/>
  <c r="D147" i="21"/>
  <c r="H135" i="21"/>
  <c r="H147" i="21" s="1"/>
  <c r="H83" i="19"/>
  <c r="J83" i="19"/>
  <c r="D165" i="19"/>
  <c r="D182" i="19"/>
  <c r="F76" i="26"/>
  <c r="E154" i="26" l="1"/>
  <c r="F154" i="26"/>
  <c r="D174" i="19"/>
  <c r="D175" i="19" s="1"/>
  <c r="F207" i="19"/>
  <c r="J165" i="19"/>
  <c r="F165" i="19"/>
  <c r="D133" i="19"/>
  <c r="I165" i="19"/>
  <c r="E165" i="19"/>
  <c r="H165" i="19"/>
  <c r="D166" i="19"/>
  <c r="G165" i="19"/>
  <c r="J94" i="21"/>
  <c r="F136" i="21"/>
  <c r="F157" i="21"/>
  <c r="J97" i="21"/>
  <c r="I157" i="21"/>
  <c r="I136" i="21"/>
  <c r="E211" i="25"/>
  <c r="E214" i="25" s="1"/>
  <c r="D148" i="25"/>
  <c r="D149" i="25" s="1"/>
  <c r="D137" i="25"/>
  <c r="F190" i="25"/>
  <c r="G169" i="28"/>
  <c r="G171" i="28" s="1"/>
  <c r="G159" i="28"/>
  <c r="F147" i="28"/>
  <c r="F149" i="28" s="1"/>
  <c r="F137" i="28"/>
  <c r="F218" i="28"/>
  <c r="I218" i="28"/>
  <c r="I136" i="26"/>
  <c r="E136" i="26"/>
  <c r="F191" i="26"/>
  <c r="D148" i="26"/>
  <c r="D137" i="26"/>
  <c r="H136" i="26"/>
  <c r="E215" i="26"/>
  <c r="G136" i="26"/>
  <c r="J136" i="26"/>
  <c r="F136" i="26"/>
  <c r="J174" i="25"/>
  <c r="J182" i="25"/>
  <c r="I182" i="25"/>
  <c r="I174" i="25"/>
  <c r="K148" i="27"/>
  <c r="K149" i="27" s="1"/>
  <c r="K137" i="27"/>
  <c r="G216" i="28"/>
  <c r="G217" i="28" s="1"/>
  <c r="F197" i="21"/>
  <c r="K157" i="21"/>
  <c r="D169" i="21"/>
  <c r="D170" i="21" s="1"/>
  <c r="D158" i="21"/>
  <c r="J218" i="28"/>
  <c r="K227" i="28"/>
  <c r="K228" i="28" s="1"/>
  <c r="G227" i="28"/>
  <c r="G228" i="28" s="1"/>
  <c r="H181" i="25"/>
  <c r="H152" i="25"/>
  <c r="J98" i="21"/>
  <c r="J136" i="21"/>
  <c r="J157" i="21"/>
  <c r="J96" i="21"/>
  <c r="H136" i="21"/>
  <c r="H157" i="21"/>
  <c r="K148" i="25"/>
  <c r="K137" i="25"/>
  <c r="H227" i="28"/>
  <c r="H228" i="28" s="1"/>
  <c r="E147" i="28"/>
  <c r="E149" i="28" s="1"/>
  <c r="E137" i="28"/>
  <c r="H147" i="28"/>
  <c r="H149" i="28" s="1"/>
  <c r="H137" i="28"/>
  <c r="E169" i="28"/>
  <c r="E171" i="28" s="1"/>
  <c r="E159" i="28"/>
  <c r="J147" i="28"/>
  <c r="J149" i="28" s="1"/>
  <c r="J137" i="28"/>
  <c r="F216" i="28"/>
  <c r="F217" i="28" s="1"/>
  <c r="G181" i="25"/>
  <c r="G152" i="25"/>
  <c r="G182" i="25"/>
  <c r="G183" i="25" s="1"/>
  <c r="G174" i="25"/>
  <c r="J91" i="15"/>
  <c r="I128" i="15"/>
  <c r="E134" i="15"/>
  <c r="E156" i="15"/>
  <c r="J93" i="15"/>
  <c r="G156" i="15"/>
  <c r="G134" i="15"/>
  <c r="K148" i="26"/>
  <c r="K149" i="26" s="1"/>
  <c r="K137" i="26"/>
  <c r="D168" i="15"/>
  <c r="D169" i="15" s="1"/>
  <c r="E220" i="15"/>
  <c r="E223" i="15" s="1"/>
  <c r="E224" i="15" s="1"/>
  <c r="E225" i="15" s="1"/>
  <c r="F196" i="15"/>
  <c r="D157" i="15"/>
  <c r="K156" i="15"/>
  <c r="F190" i="27"/>
  <c r="E211" i="27"/>
  <c r="E214" i="27" s="1"/>
  <c r="E215" i="27" s="1"/>
  <c r="E216" i="27" s="1"/>
  <c r="J136" i="27"/>
  <c r="F136" i="27"/>
  <c r="I136" i="27"/>
  <c r="E136" i="27"/>
  <c r="D148" i="27"/>
  <c r="D149" i="27" s="1"/>
  <c r="D137" i="27"/>
  <c r="H136" i="27"/>
  <c r="G136" i="27"/>
  <c r="G218" i="28"/>
  <c r="H182" i="25"/>
  <c r="H183" i="25" s="1"/>
  <c r="H174" i="25"/>
  <c r="J152" i="25"/>
  <c r="J181" i="25"/>
  <c r="K148" i="28"/>
  <c r="K137" i="28"/>
  <c r="J216" i="28"/>
  <c r="J217" i="28" s="1"/>
  <c r="E198" i="27"/>
  <c r="E201" i="27" s="1"/>
  <c r="E193" i="27"/>
  <c r="G147" i="28"/>
  <c r="G149" i="28" s="1"/>
  <c r="G137" i="28"/>
  <c r="I169" i="28"/>
  <c r="I171" i="28" s="1"/>
  <c r="I159" i="28"/>
  <c r="F169" i="28"/>
  <c r="F171" i="28" s="1"/>
  <c r="F159" i="28"/>
  <c r="K216" i="28"/>
  <c r="K217" i="28" s="1"/>
  <c r="J92" i="15"/>
  <c r="F134" i="15"/>
  <c r="F156" i="15"/>
  <c r="J95" i="15"/>
  <c r="I134" i="15"/>
  <c r="I156" i="15"/>
  <c r="I216" i="28"/>
  <c r="I217" i="28" s="1"/>
  <c r="H237" i="25"/>
  <c r="E223" i="26"/>
  <c r="E226" i="26" s="1"/>
  <c r="F199" i="26"/>
  <c r="I159" i="26"/>
  <c r="E159" i="26"/>
  <c r="D171" i="26"/>
  <c r="D172" i="26" s="1"/>
  <c r="D160" i="26"/>
  <c r="H159" i="26"/>
  <c r="K159" i="26"/>
  <c r="G159" i="26"/>
  <c r="J159" i="26"/>
  <c r="F159" i="26"/>
  <c r="E209" i="15"/>
  <c r="E212" i="15" s="1"/>
  <c r="E213" i="15" s="1"/>
  <c r="E214" i="15" s="1"/>
  <c r="D146" i="15"/>
  <c r="D147" i="15" s="1"/>
  <c r="D135" i="15"/>
  <c r="F188" i="15"/>
  <c r="K134" i="15"/>
  <c r="E182" i="25"/>
  <c r="E174" i="25"/>
  <c r="J91" i="19"/>
  <c r="J128" i="19" s="1"/>
  <c r="I128" i="19"/>
  <c r="G237" i="28"/>
  <c r="E211" i="28"/>
  <c r="E214" i="28" s="1"/>
  <c r="D148" i="28"/>
  <c r="D149" i="28" s="1"/>
  <c r="D137" i="28"/>
  <c r="F190" i="28"/>
  <c r="I227" i="28"/>
  <c r="I228" i="28" s="1"/>
  <c r="H216" i="28"/>
  <c r="H217" i="28" s="1"/>
  <c r="E198" i="25"/>
  <c r="E201" i="25" s="1"/>
  <c r="E193" i="25"/>
  <c r="H182" i="19"/>
  <c r="D191" i="19"/>
  <c r="D192" i="19" s="1"/>
  <c r="D183" i="19"/>
  <c r="G182" i="19"/>
  <c r="J182" i="19"/>
  <c r="F182" i="19"/>
  <c r="I182" i="19"/>
  <c r="E182" i="19"/>
  <c r="D144" i="19"/>
  <c r="E198" i="28"/>
  <c r="E201" i="28" s="1"/>
  <c r="E193" i="28"/>
  <c r="I181" i="25"/>
  <c r="I152" i="25"/>
  <c r="J95" i="21"/>
  <c r="G136" i="21"/>
  <c r="G157" i="21"/>
  <c r="J93" i="21"/>
  <c r="I130" i="21"/>
  <c r="E157" i="21"/>
  <c r="E136" i="21"/>
  <c r="F198" i="25"/>
  <c r="D170" i="25"/>
  <c r="D171" i="25" s="1"/>
  <c r="D159" i="25"/>
  <c r="E223" i="25"/>
  <c r="E226" i="25" s="1"/>
  <c r="E227" i="25" s="1"/>
  <c r="E228" i="25" s="1"/>
  <c r="K158" i="25"/>
  <c r="F227" i="28"/>
  <c r="F228" i="28" s="1"/>
  <c r="I147" i="28"/>
  <c r="I149" i="28" s="1"/>
  <c r="I137" i="28"/>
  <c r="H169" i="28"/>
  <c r="H171" i="28" s="1"/>
  <c r="H159" i="28"/>
  <c r="J169" i="28"/>
  <c r="J171" i="28" s="1"/>
  <c r="J159" i="28"/>
  <c r="K218" i="28"/>
  <c r="E181" i="25"/>
  <c r="E152" i="25"/>
  <c r="J96" i="15"/>
  <c r="J156" i="15"/>
  <c r="J134" i="15"/>
  <c r="J94" i="15"/>
  <c r="H156" i="15"/>
  <c r="H134" i="15"/>
  <c r="H237" i="28"/>
  <c r="E155" i="26"/>
  <c r="K158" i="27"/>
  <c r="G158" i="27"/>
  <c r="J158" i="27"/>
  <c r="F158" i="27"/>
  <c r="I158" i="27"/>
  <c r="E158" i="27"/>
  <c r="D159" i="27"/>
  <c r="H158" i="27"/>
  <c r="F198" i="27"/>
  <c r="D170" i="27"/>
  <c r="D171" i="27" s="1"/>
  <c r="E222" i="27"/>
  <c r="E225" i="27" s="1"/>
  <c r="E226" i="27" s="1"/>
  <c r="E227" i="27" s="1"/>
  <c r="E199" i="26"/>
  <c r="E202" i="26" s="1"/>
  <c r="E194" i="26"/>
  <c r="K136" i="21"/>
  <c r="F189" i="21"/>
  <c r="D148" i="21"/>
  <c r="D149" i="21" s="1"/>
  <c r="D137" i="21"/>
  <c r="J227" i="28"/>
  <c r="J228" i="28" s="1"/>
  <c r="F174" i="25"/>
  <c r="F182" i="25"/>
  <c r="F152" i="25"/>
  <c r="F181" i="25"/>
  <c r="F198" i="28"/>
  <c r="D170" i="28"/>
  <c r="D171" i="28" s="1"/>
  <c r="D159" i="28"/>
  <c r="K158" i="28"/>
  <c r="E223" i="28"/>
  <c r="E226" i="28" s="1"/>
  <c r="E227" i="28" s="1"/>
  <c r="E228" i="28" s="1"/>
  <c r="H218" i="28"/>
  <c r="D236" i="25"/>
  <c r="G237" i="25" s="1"/>
  <c r="F227" i="25"/>
  <c r="F228" i="25" s="1"/>
  <c r="E183" i="25" l="1"/>
  <c r="F183" i="25"/>
  <c r="K230" i="28"/>
  <c r="E227" i="26"/>
  <c r="E228" i="26" s="1"/>
  <c r="E230" i="26"/>
  <c r="E216" i="26"/>
  <c r="E217" i="26" s="1"/>
  <c r="E219" i="26"/>
  <c r="J128" i="15"/>
  <c r="E236" i="25"/>
  <c r="E237" i="25" s="1"/>
  <c r="K149" i="25"/>
  <c r="J169" i="21"/>
  <c r="J170" i="21" s="1"/>
  <c r="J158" i="21"/>
  <c r="I183" i="25"/>
  <c r="K212" i="26"/>
  <c r="K215" i="26" s="1"/>
  <c r="J148" i="26"/>
  <c r="J149" i="26" s="1"/>
  <c r="J137" i="26"/>
  <c r="I148" i="26"/>
  <c r="I149" i="26" s="1"/>
  <c r="I137" i="26"/>
  <c r="J212" i="26"/>
  <c r="J215" i="26" s="1"/>
  <c r="F152" i="28"/>
  <c r="F181" i="28"/>
  <c r="I169" i="21"/>
  <c r="I170" i="21" s="1"/>
  <c r="I158" i="21"/>
  <c r="E174" i="19"/>
  <c r="E175" i="19" s="1"/>
  <c r="E166" i="19"/>
  <c r="J174" i="19"/>
  <c r="J175" i="19" s="1"/>
  <c r="J166" i="19"/>
  <c r="D182" i="28"/>
  <c r="D174" i="28"/>
  <c r="D180" i="21"/>
  <c r="D152" i="21"/>
  <c r="H170" i="27"/>
  <c r="H171" i="27" s="1"/>
  <c r="I222" i="27"/>
  <c r="I225" i="27" s="1"/>
  <c r="I226" i="27" s="1"/>
  <c r="I227" i="27" s="1"/>
  <c r="H159" i="27"/>
  <c r="G222" i="27"/>
  <c r="G225" i="27" s="1"/>
  <c r="G226" i="27" s="1"/>
  <c r="G227" i="27" s="1"/>
  <c r="F170" i="27"/>
  <c r="F171" i="27" s="1"/>
  <c r="F159" i="27"/>
  <c r="H168" i="15"/>
  <c r="H169" i="15" s="1"/>
  <c r="I220" i="15"/>
  <c r="I223" i="15" s="1"/>
  <c r="I224" i="15" s="1"/>
  <c r="I225" i="15" s="1"/>
  <c r="H157" i="15"/>
  <c r="E148" i="21"/>
  <c r="E149" i="21" s="1"/>
  <c r="E137" i="21"/>
  <c r="G169" i="21"/>
  <c r="G170" i="21" s="1"/>
  <c r="G158" i="21"/>
  <c r="E191" i="19"/>
  <c r="E192" i="19" s="1"/>
  <c r="E183" i="19"/>
  <c r="G191" i="19"/>
  <c r="G192" i="19" s="1"/>
  <c r="G183" i="19"/>
  <c r="F193" i="28"/>
  <c r="G193" i="28" s="1"/>
  <c r="G194" i="28" s="1"/>
  <c r="G190" i="28"/>
  <c r="D179" i="15"/>
  <c r="D150" i="15"/>
  <c r="H223" i="26"/>
  <c r="H226" i="26" s="1"/>
  <c r="G171" i="26"/>
  <c r="G172" i="26" s="1"/>
  <c r="G160" i="26"/>
  <c r="D175" i="26"/>
  <c r="D183" i="26"/>
  <c r="J209" i="15"/>
  <c r="J212" i="15" s="1"/>
  <c r="J213" i="15" s="1"/>
  <c r="J214" i="15" s="1"/>
  <c r="I146" i="15"/>
  <c r="I147" i="15" s="1"/>
  <c r="I135" i="15"/>
  <c r="F148" i="27"/>
  <c r="F149" i="27" s="1"/>
  <c r="F137" i="27"/>
  <c r="G211" i="27"/>
  <c r="G214" i="27" s="1"/>
  <c r="G215" i="27" s="1"/>
  <c r="G216" i="27" s="1"/>
  <c r="H181" i="28"/>
  <c r="H152" i="28"/>
  <c r="G212" i="26"/>
  <c r="G215" i="26" s="1"/>
  <c r="F148" i="26"/>
  <c r="F137" i="26"/>
  <c r="H148" i="26"/>
  <c r="H149" i="26" s="1"/>
  <c r="H137" i="26"/>
  <c r="I212" i="26"/>
  <c r="I215" i="26" s="1"/>
  <c r="E148" i="26"/>
  <c r="E149" i="26" s="1"/>
  <c r="E137" i="26"/>
  <c r="F212" i="26"/>
  <c r="F215" i="26" s="1"/>
  <c r="F193" i="25"/>
  <c r="G193" i="25" s="1"/>
  <c r="G194" i="25" s="1"/>
  <c r="G190" i="25"/>
  <c r="I148" i="21"/>
  <c r="I149" i="21" s="1"/>
  <c r="I137" i="21"/>
  <c r="F148" i="21"/>
  <c r="F149" i="21" s="1"/>
  <c r="F137" i="21"/>
  <c r="H174" i="19"/>
  <c r="H175" i="19" s="1"/>
  <c r="H166" i="19"/>
  <c r="F201" i="28"/>
  <c r="G201" i="28" s="1"/>
  <c r="G202" i="28" s="1"/>
  <c r="G205" i="28" s="1"/>
  <c r="G198" i="28"/>
  <c r="F192" i="21"/>
  <c r="G192" i="21" s="1"/>
  <c r="G193" i="21" s="1"/>
  <c r="G189" i="21"/>
  <c r="J174" i="28"/>
  <c r="J182" i="28"/>
  <c r="I181" i="28"/>
  <c r="I152" i="28"/>
  <c r="E169" i="21"/>
  <c r="E170" i="21" s="1"/>
  <c r="E158" i="21"/>
  <c r="G148" i="21"/>
  <c r="G149" i="21" s="1"/>
  <c r="G137" i="21"/>
  <c r="I191" i="19"/>
  <c r="I192" i="19" s="1"/>
  <c r="I183" i="19"/>
  <c r="K146" i="15"/>
  <c r="K147" i="15" s="1"/>
  <c r="K135" i="15"/>
  <c r="K171" i="26"/>
  <c r="K172" i="26" s="1"/>
  <c r="K160" i="26"/>
  <c r="E171" i="26"/>
  <c r="E172" i="26" s="1"/>
  <c r="E160" i="26"/>
  <c r="F223" i="26"/>
  <c r="F226" i="26" s="1"/>
  <c r="I182" i="28"/>
  <c r="I174" i="28"/>
  <c r="D181" i="27"/>
  <c r="D152" i="27"/>
  <c r="J148" i="27"/>
  <c r="J149" i="27" s="1"/>
  <c r="J137" i="27"/>
  <c r="K211" i="27"/>
  <c r="K214" i="27" s="1"/>
  <c r="K215" i="27" s="1"/>
  <c r="K216" i="27" s="1"/>
  <c r="K170" i="28"/>
  <c r="K171" i="28" s="1"/>
  <c r="K159" i="28"/>
  <c r="K148" i="21"/>
  <c r="K149" i="21" s="1"/>
  <c r="K152" i="21" s="1"/>
  <c r="K137" i="21"/>
  <c r="D182" i="27"/>
  <c r="D183" i="27" s="1"/>
  <c r="D185" i="27" s="1"/>
  <c r="D174" i="27"/>
  <c r="F222" i="27"/>
  <c r="F225" i="27" s="1"/>
  <c r="F226" i="27" s="1"/>
  <c r="F227" i="27" s="1"/>
  <c r="E170" i="27"/>
  <c r="E171" i="27" s="1"/>
  <c r="E159" i="27"/>
  <c r="H222" i="27"/>
  <c r="H225" i="27" s="1"/>
  <c r="H226" i="27" s="1"/>
  <c r="H227" i="27" s="1"/>
  <c r="G170" i="27"/>
  <c r="G171" i="27" s="1"/>
  <c r="G159" i="27"/>
  <c r="K209" i="15"/>
  <c r="K212" i="15" s="1"/>
  <c r="K213" i="15" s="1"/>
  <c r="K214" i="15" s="1"/>
  <c r="K227" i="15" s="1"/>
  <c r="J146" i="15"/>
  <c r="J147" i="15" s="1"/>
  <c r="J135" i="15"/>
  <c r="D182" i="25"/>
  <c r="D174" i="25"/>
  <c r="D176" i="25" s="1"/>
  <c r="F191" i="19"/>
  <c r="F192" i="19" s="1"/>
  <c r="F183" i="19"/>
  <c r="D202" i="19"/>
  <c r="D194" i="19"/>
  <c r="D195" i="19" s="1"/>
  <c r="D181" i="28"/>
  <c r="D152" i="28"/>
  <c r="F191" i="15"/>
  <c r="G191" i="15" s="1"/>
  <c r="G192" i="15" s="1"/>
  <c r="G188" i="15"/>
  <c r="G223" i="26"/>
  <c r="G226" i="26" s="1"/>
  <c r="F171" i="26"/>
  <c r="F160" i="26"/>
  <c r="I223" i="26"/>
  <c r="I226" i="26" s="1"/>
  <c r="H171" i="26"/>
  <c r="H172" i="26" s="1"/>
  <c r="H160" i="26"/>
  <c r="I171" i="26"/>
  <c r="I172" i="26" s="1"/>
  <c r="I160" i="26"/>
  <c r="J223" i="26"/>
  <c r="J226" i="26" s="1"/>
  <c r="G220" i="15"/>
  <c r="G223" i="15" s="1"/>
  <c r="G224" i="15" s="1"/>
  <c r="G225" i="15" s="1"/>
  <c r="F168" i="15"/>
  <c r="F169" i="15" s="1"/>
  <c r="F157" i="15"/>
  <c r="G148" i="27"/>
  <c r="G149" i="27" s="1"/>
  <c r="H211" i="27"/>
  <c r="H214" i="27" s="1"/>
  <c r="H215" i="27" s="1"/>
  <c r="H216" i="27" s="1"/>
  <c r="G137" i="27"/>
  <c r="F211" i="27"/>
  <c r="F214" i="27" s="1"/>
  <c r="F215" i="27" s="1"/>
  <c r="F216" i="27" s="1"/>
  <c r="E148" i="27"/>
  <c r="E149" i="27" s="1"/>
  <c r="E137" i="27"/>
  <c r="F199" i="15"/>
  <c r="G199" i="15" s="1"/>
  <c r="G200" i="15" s="1"/>
  <c r="G203" i="15" s="1"/>
  <c r="G196" i="15"/>
  <c r="K182" i="26"/>
  <c r="K152" i="26"/>
  <c r="E168" i="15"/>
  <c r="E169" i="15" s="1"/>
  <c r="F220" i="15"/>
  <c r="F223" i="15" s="1"/>
  <c r="F224" i="15" s="1"/>
  <c r="F225" i="15" s="1"/>
  <c r="E157" i="15"/>
  <c r="E182" i="28"/>
  <c r="E174" i="28"/>
  <c r="E181" i="28"/>
  <c r="E152" i="28"/>
  <c r="H169" i="21"/>
  <c r="H170" i="21" s="1"/>
  <c r="H158" i="21"/>
  <c r="J148" i="21"/>
  <c r="J149" i="21" s="1"/>
  <c r="J137" i="21"/>
  <c r="D181" i="21"/>
  <c r="D182" i="21" s="1"/>
  <c r="D173" i="21"/>
  <c r="J183" i="25"/>
  <c r="G148" i="26"/>
  <c r="G149" i="26" s="1"/>
  <c r="G137" i="26"/>
  <c r="H212" i="26"/>
  <c r="H215" i="26" s="1"/>
  <c r="D150" i="26"/>
  <c r="D149" i="26"/>
  <c r="D181" i="25"/>
  <c r="D152" i="25"/>
  <c r="G174" i="19"/>
  <c r="G175" i="19" s="1"/>
  <c r="G166" i="19"/>
  <c r="I174" i="19"/>
  <c r="I175" i="19" s="1"/>
  <c r="I166" i="19"/>
  <c r="F215" i="19"/>
  <c r="F210" i="19"/>
  <c r="G210" i="19" s="1"/>
  <c r="G211" i="19" s="1"/>
  <c r="G207" i="19"/>
  <c r="E236" i="28"/>
  <c r="E237" i="28" s="1"/>
  <c r="K149" i="28"/>
  <c r="K168" i="15"/>
  <c r="K169" i="15" s="1"/>
  <c r="K157" i="15"/>
  <c r="D180" i="15"/>
  <c r="D172" i="15"/>
  <c r="G168" i="15"/>
  <c r="G169" i="15" s="1"/>
  <c r="G157" i="15"/>
  <c r="H220" i="15"/>
  <c r="H223" i="15" s="1"/>
  <c r="H224" i="15" s="1"/>
  <c r="H225" i="15" s="1"/>
  <c r="J152" i="28"/>
  <c r="J181" i="28"/>
  <c r="F200" i="21"/>
  <c r="G200" i="21" s="1"/>
  <c r="G201" i="21" s="1"/>
  <c r="G204" i="21" s="1"/>
  <c r="G197" i="21"/>
  <c r="F174" i="19"/>
  <c r="F175" i="19" s="1"/>
  <c r="F166" i="19"/>
  <c r="K222" i="27"/>
  <c r="K225" i="27" s="1"/>
  <c r="K226" i="27" s="1"/>
  <c r="K227" i="27" s="1"/>
  <c r="J170" i="27"/>
  <c r="J171" i="27" s="1"/>
  <c r="J159" i="27"/>
  <c r="F201" i="27"/>
  <c r="G201" i="27" s="1"/>
  <c r="G202" i="27" s="1"/>
  <c r="G198" i="27"/>
  <c r="J222" i="27"/>
  <c r="J225" i="27" s="1"/>
  <c r="J226" i="27" s="1"/>
  <c r="J227" i="27" s="1"/>
  <c r="I170" i="27"/>
  <c r="I171" i="27" s="1"/>
  <c r="I159" i="27"/>
  <c r="K170" i="27"/>
  <c r="K171" i="27" s="1"/>
  <c r="K159" i="27"/>
  <c r="I209" i="15"/>
  <c r="I212" i="15" s="1"/>
  <c r="I213" i="15" s="1"/>
  <c r="I214" i="15" s="1"/>
  <c r="H146" i="15"/>
  <c r="H147" i="15" s="1"/>
  <c r="H135" i="15"/>
  <c r="K220" i="15"/>
  <c r="K223" i="15" s="1"/>
  <c r="K224" i="15" s="1"/>
  <c r="K225" i="15" s="1"/>
  <c r="J168" i="15"/>
  <c r="J169" i="15" s="1"/>
  <c r="J157" i="15"/>
  <c r="H182" i="28"/>
  <c r="H174" i="28"/>
  <c r="K170" i="25"/>
  <c r="K171" i="25" s="1"/>
  <c r="K159" i="25"/>
  <c r="F201" i="25"/>
  <c r="G201" i="25" s="1"/>
  <c r="G202" i="25" s="1"/>
  <c r="G198" i="25"/>
  <c r="J130" i="21"/>
  <c r="J144" i="19"/>
  <c r="J147" i="19" s="1"/>
  <c r="J148" i="19" s="1"/>
  <c r="J149" i="19" s="1"/>
  <c r="F144" i="19"/>
  <c r="F147" i="19" s="1"/>
  <c r="F148" i="19" s="1"/>
  <c r="F149" i="19" s="1"/>
  <c r="I144" i="19"/>
  <c r="I147" i="19" s="1"/>
  <c r="I148" i="19" s="1"/>
  <c r="I149" i="19" s="1"/>
  <c r="E144" i="19"/>
  <c r="E147" i="19" s="1"/>
  <c r="E148" i="19" s="1"/>
  <c r="E149" i="19" s="1"/>
  <c r="D147" i="19"/>
  <c r="D148" i="19" s="1"/>
  <c r="D149" i="19" s="1"/>
  <c r="H144" i="19"/>
  <c r="H147" i="19" s="1"/>
  <c r="H148" i="19" s="1"/>
  <c r="H149" i="19" s="1"/>
  <c r="G144" i="19"/>
  <c r="G147" i="19" s="1"/>
  <c r="G148" i="19" s="1"/>
  <c r="G149" i="19" s="1"/>
  <c r="J191" i="19"/>
  <c r="J192" i="19" s="1"/>
  <c r="J183" i="19"/>
  <c r="H191" i="19"/>
  <c r="H192" i="19" s="1"/>
  <c r="H183" i="19"/>
  <c r="E215" i="28"/>
  <c r="E218" i="28" s="1"/>
  <c r="E216" i="28"/>
  <c r="E217" i="28" s="1"/>
  <c r="F236" i="28"/>
  <c r="F237" i="28" s="1"/>
  <c r="K223" i="26"/>
  <c r="K226" i="26" s="1"/>
  <c r="J171" i="26"/>
  <c r="J172" i="26" s="1"/>
  <c r="J160" i="26"/>
  <c r="G199" i="26"/>
  <c r="F202" i="26"/>
  <c r="G202" i="26" s="1"/>
  <c r="G203" i="26" s="1"/>
  <c r="I168" i="15"/>
  <c r="I169" i="15" s="1"/>
  <c r="J220" i="15"/>
  <c r="J223" i="15" s="1"/>
  <c r="J224" i="15" s="1"/>
  <c r="J225" i="15" s="1"/>
  <c r="I157" i="15"/>
  <c r="G209" i="15"/>
  <c r="G212" i="15" s="1"/>
  <c r="G213" i="15" s="1"/>
  <c r="G214" i="15" s="1"/>
  <c r="F146" i="15"/>
  <c r="F147" i="15" s="1"/>
  <c r="F135" i="15"/>
  <c r="F174" i="28"/>
  <c r="F182" i="28"/>
  <c r="F183" i="28" s="1"/>
  <c r="G181" i="28"/>
  <c r="G152" i="28"/>
  <c r="I211" i="27"/>
  <c r="I214" i="27" s="1"/>
  <c r="I215" i="27" s="1"/>
  <c r="I216" i="27" s="1"/>
  <c r="H148" i="27"/>
  <c r="H149" i="27" s="1"/>
  <c r="H137" i="27"/>
  <c r="J211" i="27"/>
  <c r="J214" i="27" s="1"/>
  <c r="J215" i="27" s="1"/>
  <c r="J216" i="27" s="1"/>
  <c r="I148" i="27"/>
  <c r="I149" i="27" s="1"/>
  <c r="I137" i="27"/>
  <c r="G190" i="27"/>
  <c r="F193" i="27"/>
  <c r="G193" i="27" s="1"/>
  <c r="G194" i="27" s="1"/>
  <c r="H209" i="15"/>
  <c r="H212" i="15" s="1"/>
  <c r="H213" i="15" s="1"/>
  <c r="H214" i="15" s="1"/>
  <c r="G146" i="15"/>
  <c r="G147" i="15" s="1"/>
  <c r="G135" i="15"/>
  <c r="F209" i="15"/>
  <c r="F212" i="15" s="1"/>
  <c r="F213" i="15" s="1"/>
  <c r="F214" i="15" s="1"/>
  <c r="E146" i="15"/>
  <c r="E147" i="15" s="1"/>
  <c r="E135" i="15"/>
  <c r="H148" i="21"/>
  <c r="H149" i="21" s="1"/>
  <c r="H137" i="21"/>
  <c r="K169" i="21"/>
  <c r="K170" i="21" s="1"/>
  <c r="K173" i="21" s="1"/>
  <c r="K158" i="21"/>
  <c r="K152" i="27"/>
  <c r="K181" i="27"/>
  <c r="F194" i="26"/>
  <c r="G194" i="26" s="1"/>
  <c r="G195" i="26" s="1"/>
  <c r="G191" i="26"/>
  <c r="G182" i="28"/>
  <c r="G183" i="28" s="1"/>
  <c r="G174" i="28"/>
  <c r="E215" i="25"/>
  <c r="E218" i="25" s="1"/>
  <c r="E216" i="25"/>
  <c r="E217" i="25" s="1"/>
  <c r="F236" i="25"/>
  <c r="F237" i="25" s="1"/>
  <c r="F169" i="21"/>
  <c r="F170" i="21" s="1"/>
  <c r="F158" i="21"/>
  <c r="D136" i="19"/>
  <c r="D137" i="19" s="1"/>
  <c r="D138" i="19" s="1"/>
  <c r="H133" i="19"/>
  <c r="H136" i="19" s="1"/>
  <c r="H137" i="19" s="1"/>
  <c r="H138" i="19" s="1"/>
  <c r="G133" i="19"/>
  <c r="G136" i="19" s="1"/>
  <c r="G137" i="19" s="1"/>
  <c r="G138" i="19" s="1"/>
  <c r="J133" i="19"/>
  <c r="J136" i="19" s="1"/>
  <c r="J137" i="19" s="1"/>
  <c r="J138" i="19" s="1"/>
  <c r="F133" i="19"/>
  <c r="F136" i="19" s="1"/>
  <c r="F137" i="19" s="1"/>
  <c r="F138" i="19" s="1"/>
  <c r="I133" i="19"/>
  <c r="I136" i="19" s="1"/>
  <c r="I137" i="19" s="1"/>
  <c r="I138" i="19" s="1"/>
  <c r="E133" i="19"/>
  <c r="E136" i="19" s="1"/>
  <c r="E137" i="19" s="1"/>
  <c r="E138" i="19" s="1"/>
  <c r="D177" i="19"/>
  <c r="D201" i="19"/>
  <c r="H183" i="28" l="1"/>
  <c r="I216" i="26"/>
  <c r="I217" i="26" s="1"/>
  <c r="I219" i="26"/>
  <c r="J216" i="26"/>
  <c r="J217" i="26" s="1"/>
  <c r="J219" i="26"/>
  <c r="H216" i="26"/>
  <c r="H217" i="26" s="1"/>
  <c r="H219" i="26"/>
  <c r="F216" i="26"/>
  <c r="F217" i="26" s="1"/>
  <c r="F219" i="26"/>
  <c r="G216" i="26"/>
  <c r="G217" i="26" s="1"/>
  <c r="G219" i="26"/>
  <c r="H227" i="26"/>
  <c r="H228" i="26" s="1"/>
  <c r="H230" i="26"/>
  <c r="I227" i="26"/>
  <c r="I228" i="26" s="1"/>
  <c r="I230" i="26"/>
  <c r="F227" i="26"/>
  <c r="F228" i="26" s="1"/>
  <c r="F230" i="26"/>
  <c r="K227" i="26"/>
  <c r="K228" i="26" s="1"/>
  <c r="K230" i="26"/>
  <c r="K216" i="26"/>
  <c r="K217" i="26" s="1"/>
  <c r="K219" i="26"/>
  <c r="J227" i="26"/>
  <c r="J228" i="26" s="1"/>
  <c r="J230" i="26"/>
  <c r="G227" i="26"/>
  <c r="G228" i="26" s="1"/>
  <c r="G230" i="26"/>
  <c r="H180" i="21"/>
  <c r="H152" i="21"/>
  <c r="I180" i="15"/>
  <c r="I172" i="15"/>
  <c r="J180" i="15"/>
  <c r="J172" i="15"/>
  <c r="F177" i="19"/>
  <c r="F201" i="19"/>
  <c r="G201" i="19"/>
  <c r="G177" i="19"/>
  <c r="J180" i="21"/>
  <c r="J152" i="21"/>
  <c r="I236" i="28"/>
  <c r="I237" i="28" s="1"/>
  <c r="I236" i="25"/>
  <c r="I237" i="25" s="1"/>
  <c r="F149" i="26"/>
  <c r="G194" i="19"/>
  <c r="G202" i="19"/>
  <c r="G203" i="19" s="1"/>
  <c r="J173" i="21"/>
  <c r="J181" i="21"/>
  <c r="J182" i="21" s="1"/>
  <c r="G179" i="15"/>
  <c r="G150" i="15"/>
  <c r="H181" i="27"/>
  <c r="H152" i="27"/>
  <c r="G206" i="26"/>
  <c r="J182" i="27"/>
  <c r="J174" i="27"/>
  <c r="D181" i="15"/>
  <c r="D183" i="15" s="1"/>
  <c r="E180" i="15"/>
  <c r="E172" i="15"/>
  <c r="F180" i="15"/>
  <c r="F172" i="15"/>
  <c r="I175" i="26"/>
  <c r="I183" i="26"/>
  <c r="D203" i="19"/>
  <c r="D183" i="25"/>
  <c r="D185" i="25" s="1"/>
  <c r="E182" i="27"/>
  <c r="E174" i="27"/>
  <c r="K229" i="27"/>
  <c r="G183" i="26"/>
  <c r="G175" i="26"/>
  <c r="H180" i="15"/>
  <c r="H172" i="15"/>
  <c r="J177" i="19"/>
  <c r="J201" i="19"/>
  <c r="I173" i="21"/>
  <c r="I181" i="21"/>
  <c r="K181" i="25"/>
  <c r="K152" i="25"/>
  <c r="F150" i="15"/>
  <c r="F179" i="15"/>
  <c r="J194" i="19"/>
  <c r="J202" i="19"/>
  <c r="K182" i="25"/>
  <c r="K174" i="25"/>
  <c r="I182" i="27"/>
  <c r="I174" i="27"/>
  <c r="K181" i="28"/>
  <c r="K152" i="28"/>
  <c r="K182" i="28"/>
  <c r="K183" i="28" s="1"/>
  <c r="K174" i="28"/>
  <c r="K183" i="26"/>
  <c r="K184" i="26" s="1"/>
  <c r="K175" i="26"/>
  <c r="E173" i="21"/>
  <c r="E181" i="21"/>
  <c r="I179" i="15"/>
  <c r="I150" i="15"/>
  <c r="G173" i="21"/>
  <c r="G181" i="21"/>
  <c r="J182" i="26"/>
  <c r="J152" i="26"/>
  <c r="E179" i="15"/>
  <c r="E150" i="15"/>
  <c r="I181" i="27"/>
  <c r="I152" i="27"/>
  <c r="H202" i="19"/>
  <c r="H203" i="19" s="1"/>
  <c r="H194" i="19"/>
  <c r="G205" i="25"/>
  <c r="K174" i="27"/>
  <c r="K182" i="27"/>
  <c r="K183" i="27" s="1"/>
  <c r="I177" i="19"/>
  <c r="I201" i="19"/>
  <c r="H181" i="21"/>
  <c r="H182" i="21" s="1"/>
  <c r="H173" i="21"/>
  <c r="E183" i="28"/>
  <c r="J236" i="28"/>
  <c r="J237" i="28" s="1"/>
  <c r="J236" i="25"/>
  <c r="J237" i="25" s="1"/>
  <c r="F172" i="26"/>
  <c r="G174" i="27"/>
  <c r="G182" i="27"/>
  <c r="E175" i="26"/>
  <c r="E183" i="26"/>
  <c r="K179" i="15"/>
  <c r="K150" i="15"/>
  <c r="G180" i="21"/>
  <c r="G152" i="21"/>
  <c r="H177" i="19"/>
  <c r="H201" i="19"/>
  <c r="I180" i="21"/>
  <c r="I152" i="21"/>
  <c r="H182" i="26"/>
  <c r="H152" i="26"/>
  <c r="F181" i="27"/>
  <c r="F152" i="27"/>
  <c r="E194" i="19"/>
  <c r="E202" i="19"/>
  <c r="E203" i="19" s="1"/>
  <c r="E180" i="21"/>
  <c r="E152" i="21"/>
  <c r="D176" i="28"/>
  <c r="I182" i="26"/>
  <c r="I152" i="26"/>
  <c r="J183" i="26"/>
  <c r="J175" i="26"/>
  <c r="F218" i="19"/>
  <c r="G218" i="19" s="1"/>
  <c r="G219" i="19" s="1"/>
  <c r="G221" i="19" s="1"/>
  <c r="G215" i="19"/>
  <c r="I194" i="19"/>
  <c r="I202" i="19"/>
  <c r="I203" i="19" s="1"/>
  <c r="F180" i="21"/>
  <c r="F152" i="21"/>
  <c r="F173" i="21"/>
  <c r="F181" i="21"/>
  <c r="H179" i="15"/>
  <c r="H150" i="15"/>
  <c r="G205" i="27"/>
  <c r="G180" i="15"/>
  <c r="G172" i="15"/>
  <c r="K180" i="15"/>
  <c r="K181" i="15" s="1"/>
  <c r="K172" i="15"/>
  <c r="D182" i="26"/>
  <c r="D184" i="26" s="1"/>
  <c r="D186" i="26" s="1"/>
  <c r="D152" i="26"/>
  <c r="G182" i="26"/>
  <c r="G152" i="26"/>
  <c r="E181" i="27"/>
  <c r="E152" i="27"/>
  <c r="G152" i="27"/>
  <c r="G181" i="27"/>
  <c r="H175" i="26"/>
  <c r="H183" i="26"/>
  <c r="H184" i="26" s="1"/>
  <c r="F194" i="19"/>
  <c r="F202" i="19"/>
  <c r="J179" i="15"/>
  <c r="J150" i="15"/>
  <c r="D176" i="27"/>
  <c r="J181" i="27"/>
  <c r="J152" i="27"/>
  <c r="I183" i="28"/>
  <c r="J183" i="28"/>
  <c r="E182" i="26"/>
  <c r="E152" i="26"/>
  <c r="D177" i="26"/>
  <c r="F182" i="27"/>
  <c r="F183" i="27" s="1"/>
  <c r="F174" i="27"/>
  <c r="H182" i="27"/>
  <c r="H174" i="27"/>
  <c r="D183" i="28"/>
  <c r="D185" i="28" s="1"/>
  <c r="E177" i="19"/>
  <c r="E201" i="19"/>
  <c r="H183" i="27" l="1"/>
  <c r="J184" i="26"/>
  <c r="E184" i="26"/>
  <c r="I183" i="27"/>
  <c r="E183" i="27"/>
  <c r="F183" i="26"/>
  <c r="F175" i="26"/>
  <c r="G184" i="26"/>
  <c r="F182" i="26"/>
  <c r="F152" i="26"/>
  <c r="I181" i="15"/>
  <c r="E181" i="15"/>
  <c r="G181" i="15"/>
  <c r="F182" i="21"/>
  <c r="G183" i="27"/>
  <c r="K183" i="25"/>
  <c r="I182" i="21"/>
  <c r="F181" i="15"/>
  <c r="F203" i="19"/>
  <c r="G182" i="21"/>
  <c r="E182" i="21"/>
  <c r="J203" i="19"/>
  <c r="H181" i="15"/>
  <c r="I184" i="26"/>
  <c r="J183" i="27"/>
  <c r="J181" i="15"/>
  <c r="F177" i="26" l="1"/>
  <c r="F184" i="26"/>
</calcChain>
</file>

<file path=xl/comments1.xml><?xml version="1.0" encoding="utf-8"?>
<comments xmlns="http://schemas.openxmlformats.org/spreadsheetml/2006/main">
  <authors>
    <author>Nguyen Thi Xuan</author>
    <author>ASUS</author>
  </authors>
  <commentList>
    <comment ref="N17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contract 3 years</t>
        </r>
      </text>
    </comment>
    <comment ref="E61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67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73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79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126" authorId="1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2010 other</t>
        </r>
      </text>
    </comment>
    <comment ref="E127" authorId="1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2011 as current</t>
        </r>
      </text>
    </comment>
  </commentList>
</comments>
</file>

<file path=xl/comments10.xml><?xml version="1.0" encoding="utf-8"?>
<comments xmlns="http://schemas.openxmlformats.org/spreadsheetml/2006/main">
  <authors>
    <author>Nguyen Thi Xuan</author>
  </authors>
  <commentList>
    <comment ref="M69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TS 1 xe innova</t>
        </r>
      </text>
    </comment>
  </commentList>
</comments>
</file>

<file path=xl/comments11.xml><?xml version="1.0" encoding="utf-8"?>
<comments xmlns="http://schemas.openxmlformats.org/spreadsheetml/2006/main">
  <authors>
    <author>ASUS</author>
    <author>Nguyen Thi Xuan</author>
  </authors>
  <commentList>
    <comment ref="X22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2017</t>
        </r>
      </text>
    </comment>
    <comment ref="B72" authorId="1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khach len xe moi tinh tien nen se khong tinh km ko khach &amp; OT</t>
        </r>
      </text>
    </comment>
  </commentList>
</comments>
</file>

<file path=xl/comments12.xml><?xml version="1.0" encoding="utf-8"?>
<comments xmlns="http://schemas.openxmlformats.org/spreadsheetml/2006/main">
  <authors>
    <author>Nguyen Thi Xuan</author>
  </authors>
  <commentList>
    <comment ref="C48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1 ca dem</t>
        </r>
      </text>
    </comment>
    <comment ref="F48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1 ca dem</t>
        </r>
      </text>
    </comment>
    <comment ref="I48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1 xe dem</t>
        </r>
      </text>
    </comment>
    <comment ref="O48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1 ca dem</t>
        </r>
      </text>
    </comment>
    <comment ref="R48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1 ca dem</t>
        </r>
      </text>
    </comment>
    <comment ref="C62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1 ca dem</t>
        </r>
      </text>
    </comment>
    <comment ref="F62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1 ca dem</t>
        </r>
      </text>
    </comment>
    <comment ref="I62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1  xe dem</t>
        </r>
      </text>
    </comment>
    <comment ref="O62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1 ca dem</t>
        </r>
      </text>
    </comment>
  </commentList>
</comments>
</file>

<file path=xl/comments13.xml><?xml version="1.0" encoding="utf-8"?>
<comments xmlns="http://schemas.openxmlformats.org/spreadsheetml/2006/main">
  <authors>
    <author>ASUS</author>
  </authors>
  <commentList>
    <comment ref="C36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  <comment ref="F36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  <comment ref="C65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  <comment ref="F65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  <comment ref="R65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  <comment ref="U65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</commentList>
</comments>
</file>

<file path=xl/comments14.xml><?xml version="1.0" encoding="utf-8"?>
<comments xmlns="http://schemas.openxmlformats.org/spreadsheetml/2006/main">
  <authors>
    <author>ASUS</author>
  </authors>
  <commentList>
    <comment ref="C94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current car 2012</t>
        </r>
      </text>
    </comment>
    <comment ref="C109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current car 2012</t>
        </r>
      </text>
    </comment>
    <comment ref="C124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current car 2012</t>
        </r>
      </text>
    </comment>
    <comment ref="F124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change from car 2010, day shift</t>
        </r>
      </text>
    </comment>
    <comment ref="I124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current car 2011</t>
        </r>
      </text>
    </comment>
    <comment ref="L124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car 2010, day shift</t>
        </r>
      </text>
    </comment>
    <comment ref="O124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current car 2011</t>
        </r>
      </text>
    </comment>
    <comment ref="V124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rotate car 2010</t>
        </r>
      </text>
    </comment>
  </commentList>
</comments>
</file>

<file path=xl/comments15.xml><?xml version="1.0" encoding="utf-8"?>
<comments xmlns="http://schemas.openxmlformats.org/spreadsheetml/2006/main">
  <authors>
    <author>ASUS</author>
  </authors>
  <commentList>
    <comment ref="C94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current car 2012</t>
        </r>
      </text>
    </comment>
    <comment ref="C109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current car 2012</t>
        </r>
      </text>
    </comment>
    <comment ref="C124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current car 2012</t>
        </r>
      </text>
    </comment>
    <comment ref="F124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change from car 2010, day shift</t>
        </r>
      </text>
    </comment>
    <comment ref="I124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current car 2011</t>
        </r>
      </text>
    </comment>
    <comment ref="L124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car 2010, day shift</t>
        </r>
      </text>
    </comment>
    <comment ref="O124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current car 2011</t>
        </r>
      </text>
    </comment>
    <comment ref="V124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rotate car 2010</t>
        </r>
      </text>
    </comment>
  </commentList>
</comments>
</file>

<file path=xl/comments16.xml><?xml version="1.0" encoding="utf-8"?>
<comments xmlns="http://schemas.openxmlformats.org/spreadsheetml/2006/main">
  <authors>
    <author>ASUS</author>
  </authors>
  <commentList>
    <comment ref="C68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current car 2012</t>
        </r>
      </text>
    </comment>
    <comment ref="F68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change from car 2010, day shift</t>
        </r>
      </text>
    </comment>
    <comment ref="I68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current car 2011</t>
        </r>
      </text>
    </comment>
    <comment ref="L68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car 2010, day shift</t>
        </r>
      </text>
    </comment>
    <comment ref="O68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current car 2011</t>
        </r>
      </text>
    </comment>
    <comment ref="V68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rotate car 2010</t>
        </r>
      </text>
    </comment>
    <comment ref="AJ68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current car 2011</t>
        </r>
      </text>
    </comment>
  </commentList>
</comments>
</file>

<file path=xl/comments17.xml><?xml version="1.0" encoding="utf-8"?>
<comments xmlns="http://schemas.openxmlformats.org/spreadsheetml/2006/main">
  <authors>
    <author>ASUS</author>
    <author>Nguyen Thi Xuan</author>
  </authors>
  <commentList>
    <comment ref="AB22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2017</t>
        </r>
      </text>
    </comment>
    <comment ref="B72" authorId="1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khach len xe moi tinh tien nen se khong tinh km ko khach &amp; OT</t>
        </r>
      </text>
    </comment>
  </commentList>
</comments>
</file>

<file path=xl/comments18.xml><?xml version="1.0" encoding="utf-8"?>
<comments xmlns="http://schemas.openxmlformats.org/spreadsheetml/2006/main">
  <authors>
    <author>ASUS</author>
  </authors>
  <commentList>
    <comment ref="F34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  <comment ref="C48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  <comment ref="F48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  <comment ref="O48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  <comment ref="R48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  <comment ref="C63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  <comment ref="F63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  <comment ref="O63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  <comment ref="R63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</commentList>
</comments>
</file>

<file path=xl/comments19.xml><?xml version="1.0" encoding="utf-8"?>
<comments xmlns="http://schemas.openxmlformats.org/spreadsheetml/2006/main">
  <authors>
    <author>ASUS</author>
  </authors>
  <commentList>
    <comment ref="C36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  <comment ref="F36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  <comment ref="C50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  <comment ref="F50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  <comment ref="R50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  <comment ref="U50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  <comment ref="C65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  <comment ref="F65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  <comment ref="R65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  <comment ref="U65" authorId="0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1 xe dem</t>
        </r>
      </text>
    </comment>
  </commentList>
</comments>
</file>

<file path=xl/comments2.xml><?xml version="1.0" encoding="utf-8"?>
<comments xmlns="http://schemas.openxmlformats.org/spreadsheetml/2006/main">
  <authors>
    <author>Nguyen Thi Xuan</author>
    <author>ASUS</author>
  </authors>
  <commentList>
    <comment ref="N19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contract 3 years</t>
        </r>
      </text>
    </comment>
    <comment ref="E63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69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75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81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128" authorId="1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2012</t>
        </r>
      </text>
    </comment>
    <comment ref="E129" authorId="1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2021, Transit 3 years</t>
        </r>
      </text>
    </comment>
  </commentList>
</comments>
</file>

<file path=xl/comments20.xml><?xml version="1.0" encoding="utf-8"?>
<comments xmlns="http://schemas.openxmlformats.org/spreadsheetml/2006/main">
  <authors>
    <author>Nguyen Thi Xuan</author>
  </authors>
  <commentList>
    <comment ref="C48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1 ca dem</t>
        </r>
      </text>
    </comment>
    <comment ref="F48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1 ca dem</t>
        </r>
      </text>
    </comment>
    <comment ref="I48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1 xe dem</t>
        </r>
      </text>
    </comment>
    <comment ref="O48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1 ca dem</t>
        </r>
      </text>
    </comment>
    <comment ref="R48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1 ca dem</t>
        </r>
      </text>
    </comment>
    <comment ref="C62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1 ca dem</t>
        </r>
      </text>
    </comment>
    <comment ref="F62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1 ca dem</t>
        </r>
      </text>
    </comment>
    <comment ref="I62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1  xe dem</t>
        </r>
      </text>
    </comment>
    <comment ref="O62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1 ca dem</t>
        </r>
      </text>
    </comment>
  </commentList>
</comments>
</file>

<file path=xl/comments3.xml><?xml version="1.0" encoding="utf-8"?>
<comments xmlns="http://schemas.openxmlformats.org/spreadsheetml/2006/main">
  <authors>
    <author>Nguyen Thi Xuan</author>
    <author>ASUS</author>
  </authors>
  <commentList>
    <comment ref="N17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contract 3 years</t>
        </r>
      </text>
    </comment>
    <comment ref="E61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67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73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79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126" authorId="1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2012</t>
        </r>
      </text>
    </comment>
    <comment ref="E127" authorId="1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2021, Transit 3 years</t>
        </r>
      </text>
    </comment>
  </commentList>
</comments>
</file>

<file path=xl/comments4.xml><?xml version="1.0" encoding="utf-8"?>
<comments xmlns="http://schemas.openxmlformats.org/spreadsheetml/2006/main">
  <authors>
    <author>Nguyen Thi Xuan</author>
  </authors>
  <commentList>
    <comment ref="M69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TS 1 xe innova</t>
        </r>
      </text>
    </comment>
  </commentList>
</comments>
</file>

<file path=xl/comments5.xml><?xml version="1.0" encoding="utf-8"?>
<comments xmlns="http://schemas.openxmlformats.org/spreadsheetml/2006/main">
  <authors>
    <author>Nguyen Thi Xuan</author>
    <author>ASUS</author>
  </authors>
  <commentList>
    <comment ref="N17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contract 3 years</t>
        </r>
      </text>
    </comment>
    <comment ref="E61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67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73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79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126" authorId="1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car 2010</t>
        </r>
      </text>
    </comment>
    <comment ref="E127" authorId="1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keep current 2011</t>
        </r>
      </text>
    </comment>
  </commentList>
</comments>
</file>

<file path=xl/comments6.xml><?xml version="1.0" encoding="utf-8"?>
<comments xmlns="http://schemas.openxmlformats.org/spreadsheetml/2006/main">
  <authors>
    <author>Nguyen Thi Xuan</author>
    <author>ASUS</author>
  </authors>
  <commentList>
    <comment ref="N17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contract 3 years</t>
        </r>
      </text>
    </comment>
    <comment ref="E61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67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73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79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126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2010</t>
        </r>
      </text>
    </comment>
    <comment ref="E127" authorId="1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keep current 2011</t>
        </r>
      </text>
    </comment>
    <comment ref="E239" authorId="0" shapeId="0">
      <text>
        <r>
          <rPr>
            <b/>
            <sz val="9"/>
            <color indexed="81"/>
            <rFont val="Tahoma"/>
            <charset val="1"/>
          </rPr>
          <t>Nguyen Thi Xuan:</t>
        </r>
        <r>
          <rPr>
            <sz val="9"/>
            <color indexed="81"/>
            <rFont val="Tahoma"/>
            <charset val="1"/>
          </rPr>
          <t xml:space="preserve">
GD new car</t>
        </r>
      </text>
    </comment>
  </commentList>
</comments>
</file>

<file path=xl/comments7.xml><?xml version="1.0" encoding="utf-8"?>
<comments xmlns="http://schemas.openxmlformats.org/spreadsheetml/2006/main">
  <authors>
    <author>Nguyen Thi Xuan</author>
    <author>ASUS</author>
  </authors>
  <commentList>
    <comment ref="N17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contract 3 years</t>
        </r>
      </text>
    </comment>
    <comment ref="E61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67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73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79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126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2010</t>
        </r>
      </text>
    </comment>
    <comment ref="E127" authorId="1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keep current 2011</t>
        </r>
      </text>
    </comment>
  </commentList>
</comments>
</file>

<file path=xl/comments8.xml><?xml version="1.0" encoding="utf-8"?>
<comments xmlns="http://schemas.openxmlformats.org/spreadsheetml/2006/main">
  <authors>
    <author>Nguyen Thi Xuan</author>
    <author>ASUS</author>
  </authors>
  <commentList>
    <comment ref="N17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contract 3 years</t>
        </r>
      </text>
    </comment>
    <comment ref="E61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67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73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79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126" authorId="1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Use 2012 cars</t>
        </r>
      </text>
    </comment>
    <comment ref="E127" authorId="1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2021, Transit 3 years</t>
        </r>
      </text>
    </comment>
  </commentList>
</comments>
</file>

<file path=xl/comments9.xml><?xml version="1.0" encoding="utf-8"?>
<comments xmlns="http://schemas.openxmlformats.org/spreadsheetml/2006/main">
  <authors>
    <author>Nguyen Thi Xuan</author>
    <author>ASUS</author>
  </authors>
  <commentList>
    <comment ref="N17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contract 3 years</t>
        </r>
      </text>
    </comment>
    <comment ref="E61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67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73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79" authorId="0" shapeId="0">
      <text>
        <r>
          <rPr>
            <b/>
            <sz val="9"/>
            <rFont val="Tahoma"/>
            <family val="2"/>
          </rPr>
          <t>Nguyen Thi Xuan:</t>
        </r>
        <r>
          <rPr>
            <sz val="9"/>
            <rFont val="Tahoma"/>
            <family val="2"/>
          </rPr>
          <t xml:space="preserve">
innova logitem</t>
        </r>
      </text>
    </comment>
    <comment ref="E126" authorId="1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Use 2010 cars</t>
        </r>
      </text>
    </comment>
    <comment ref="E127" authorId="1" shapeId="0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Current car 2011</t>
        </r>
      </text>
    </comment>
  </commentList>
</comments>
</file>

<file path=xl/sharedStrings.xml><?xml version="1.0" encoding="utf-8"?>
<sst xmlns="http://schemas.openxmlformats.org/spreadsheetml/2006/main" count="9200" uniqueCount="365">
  <si>
    <t>COST COMPARISON</t>
  </si>
  <si>
    <t>Unit price/car</t>
  </si>
  <si>
    <t>Lexus ES 250</t>
  </si>
  <si>
    <t>Current</t>
  </si>
  <si>
    <t>Logitem</t>
  </si>
  <si>
    <t>Red river</t>
  </si>
  <si>
    <t>Huong Viet</t>
  </si>
  <si>
    <t>Hanoi trans</t>
  </si>
  <si>
    <t>Note</t>
  </si>
  <si>
    <t>Differ (current vs minimum</t>
  </si>
  <si>
    <t>TL</t>
  </si>
  <si>
    <t>- Change car type from LS 460 to ES 250
- Contract distance reduce from 2,000 km to 1,800 km</t>
  </si>
  <si>
    <t>Camry 2.5G</t>
  </si>
  <si>
    <t>Camry 2.0G</t>
  </si>
  <si>
    <t>Contract distance reduce from 1,600 km to 1,200 km</t>
  </si>
  <si>
    <t>QV</t>
  </si>
  <si>
    <t>Contract distance increase from 2,100 km to 2,400 km</t>
  </si>
  <si>
    <t>TS</t>
  </si>
  <si>
    <t>Contract distance as current 2,100 km</t>
  </si>
  <si>
    <t>Total CVN</t>
  </si>
  <si>
    <t>Avr/car</t>
  </si>
  <si>
    <t>Hiace (1 year)</t>
  </si>
  <si>
    <t>Innova</t>
  </si>
  <si>
    <t>- Contract distance reduce from 3,400 km to 3,200 km
- 8 new cars 2021</t>
  </si>
  <si>
    <t>Contract distance reduce from 4,000 km to 3,200 km</t>
  </si>
  <si>
    <t>- Contract distance reduce from 4,600 km to 4,300 km
- 12 new cars 2021</t>
  </si>
  <si>
    <t>Contract distance increase from 4,000 km to 4,300 km (day shift), 2,600 km to 4,500m km (night)</t>
  </si>
  <si>
    <t>- Contract distance increase from 4,000 km to 4,300 km
- 5 new cars 2021</t>
  </si>
  <si>
    <t>Contract distance increase from 4,000 km to 4,300 km</t>
  </si>
  <si>
    <t>Hiace (1 &amp; 3 years)</t>
  </si>
  <si>
    <t>Xpander</t>
  </si>
  <si>
    <t>Transit 1 year</t>
  </si>
  <si>
    <t>Current Hiace</t>
  </si>
  <si>
    <t>Fortuner</t>
  </si>
  <si>
    <t>All new cars 2021</t>
  </si>
  <si>
    <t>Transit 3 years</t>
  </si>
  <si>
    <t>Honda CR-V</t>
  </si>
  <si>
    <t>Logitem: all new car 2021
Huong Viet: car year 2015 &amp; 2016</t>
  </si>
  <si>
    <t>Selection supplier</t>
  </si>
  <si>
    <t>Car type</t>
  </si>
  <si>
    <t>Fac</t>
  </si>
  <si>
    <t>Q'ty</t>
  </si>
  <si>
    <t>New</t>
  </si>
  <si>
    <t>Differ</t>
  </si>
  <si>
    <t>Expense</t>
  </si>
  <si>
    <t>GD car (Lexus)</t>
  </si>
  <si>
    <r>
      <rPr>
        <sz val="11"/>
        <color theme="1"/>
        <rFont val="Calibri"/>
        <family val="2"/>
        <scheme val="minor"/>
      </rPr>
      <t xml:space="preserve">- Change car type from LS 460 to </t>
    </r>
    <r>
      <rPr>
        <sz val="11"/>
        <color rgb="FFFF0000"/>
        <rFont val="Calibri"/>
        <family val="2"/>
        <scheme val="minor"/>
      </rPr>
      <t>ES 250</t>
    </r>
    <r>
      <rPr>
        <sz val="11"/>
        <color theme="1"/>
        <rFont val="Calibri"/>
        <family val="2"/>
        <scheme val="minor"/>
      </rPr>
      <t xml:space="preserve">
- Contract distance reduce from 2,000 km to 1,800 km</t>
    </r>
  </si>
  <si>
    <t>FM car (Camry 2.5G)</t>
  </si>
  <si>
    <t>Total</t>
  </si>
  <si>
    <t>If we choose Huong Viet, we can cost down more ~ 941$/month</t>
  </si>
  <si>
    <t>7 seats Innova day</t>
  </si>
  <si>
    <t>Contract distance increase from 4,000 km to 4,300 km
Replace 1 Innova Logitem by Huong Viet supplier</t>
  </si>
  <si>
    <t>check lại</t>
  </si>
  <si>
    <t>7 seats Innova night</t>
  </si>
  <si>
    <t>- Contract distance increase from 2,600 km to 4,500 km
- Working time: 18:00 ~ 7:00</t>
  </si>
  <si>
    <t>Rank 3</t>
  </si>
  <si>
    <t>Rank 1</t>
  </si>
  <si>
    <t>Rank 2</t>
  </si>
  <si>
    <t>7 seats Xpander day</t>
  </si>
  <si>
    <t>7 seats Xpander night</t>
  </si>
  <si>
    <t>Day shift TL</t>
  </si>
  <si>
    <t>Current (00)</t>
  </si>
  <si>
    <t>Contract distance reduce from 3,400 km to 3,200 km</t>
  </si>
  <si>
    <t>New (0)</t>
  </si>
  <si>
    <t>TL Hiace 2021 
1 year (1)</t>
  </si>
  <si>
    <t>TL Hiace 2021 
3 years (2)</t>
  </si>
  <si>
    <t>TL Transit 2021 
1 year (3)</t>
  </si>
  <si>
    <t>TL Transit 2021 
3 years (4)</t>
  </si>
  <si>
    <t>TL Hiace &amp; Transit 
1 years (5)</t>
  </si>
  <si>
    <t>4 Hiace &amp; 4 Transit</t>
  </si>
  <si>
    <t>TL Hiace &amp; Transit 
3 years (6)</t>
  </si>
  <si>
    <t>Total (0 + 1)</t>
  </si>
  <si>
    <t>Total (0 + 2)</t>
  </si>
  <si>
    <t>Total (0 + 3)</t>
  </si>
  <si>
    <t>Total (0 + 4)</t>
  </si>
  <si>
    <t>Total (0 + 5)</t>
  </si>
  <si>
    <t>Total (0 + 6)</t>
  </si>
  <si>
    <t>Day shift QV</t>
  </si>
  <si>
    <t>Contract distance reduce from 4,600 km to 4,300 km</t>
  </si>
  <si>
    <t>QV Hiace 2021 
1 year (1)</t>
  </si>
  <si>
    <t>QV Hiace 2021 
3 years (2)</t>
  </si>
  <si>
    <t>QV Transit 2021 
1 year (3)</t>
  </si>
  <si>
    <t>QV Transit 2021 
3 years (4)</t>
  </si>
  <si>
    <t>QV Hiace &amp; Transit 
1 years (5)</t>
  </si>
  <si>
    <t>3 Hiace &amp; 3 Transit</t>
  </si>
  <si>
    <t>QV Hiace &amp; Transit 
3 years (6)</t>
  </si>
  <si>
    <t>Day shift TS</t>
  </si>
  <si>
    <t>TS Hiace 2021 
1 year (1)</t>
  </si>
  <si>
    <t>TS Hiace 2021 
3 years (2)</t>
  </si>
  <si>
    <t>TS Transit 2021 
1 year (3)</t>
  </si>
  <si>
    <t>TS Transit 2021 
3 years (4)</t>
  </si>
  <si>
    <t>TS Hiace &amp; Transit 
1 years (5)</t>
  </si>
  <si>
    <t>2 Hiace &amp; 1 Transit</t>
  </si>
  <si>
    <t>TS Hiace &amp; Transit 
3 years (6)</t>
  </si>
  <si>
    <t>Night shift</t>
  </si>
  <si>
    <t>Factory</t>
  </si>
  <si>
    <t>Current cost</t>
  </si>
  <si>
    <t>Op 1</t>
  </si>
  <si>
    <t>Op 2</t>
  </si>
  <si>
    <t>Op 3</t>
  </si>
  <si>
    <t>Op 4</t>
  </si>
  <si>
    <t>Op 5</t>
  </si>
  <si>
    <t>Op 6</t>
  </si>
  <si>
    <t>Op 7</t>
  </si>
  <si>
    <t>Current car</t>
  </si>
  <si>
    <t xml:space="preserve">9 Hiace 2021
contract 1 year </t>
  </si>
  <si>
    <t>9 Hiace 2021
contract 3 years</t>
  </si>
  <si>
    <t>9 Transit 2021
contract 1 year</t>
  </si>
  <si>
    <t>9 Transit 2021
contract 3 years</t>
  </si>
  <si>
    <t>5 Hiace + 4 Transit contract 1 year</t>
  </si>
  <si>
    <t>5 Hiace + 4 Transit contract 3 years</t>
  </si>
  <si>
    <t>CVN</t>
  </si>
  <si>
    <t>USD/month/3 fac</t>
  </si>
  <si>
    <t>Keep as current</t>
  </si>
  <si>
    <t>Mix Hiace &amp; Transit 1 year
Car year 2012 up</t>
  </si>
  <si>
    <t>Mix Hiace &amp; Transit 3 years
Car year 2012 up</t>
  </si>
  <si>
    <t>Op 6 + replace some car year 2008, 2010 (QV, TS)</t>
  </si>
  <si>
    <t>Op 8</t>
  </si>
  <si>
    <t>mix car</t>
  </si>
  <si>
    <t>6 new cars</t>
  </si>
  <si>
    <t>3 new cars</t>
  </si>
  <si>
    <t>GD car</t>
  </si>
  <si>
    <t>Camry 2.5G 
(3 facs)</t>
  </si>
  <si>
    <t>Camry 2.0G (FM new car)</t>
  </si>
  <si>
    <t>Differ if choose Logitem</t>
  </si>
  <si>
    <t>Differ if choose Huong Viet</t>
  </si>
  <si>
    <t>6 Hiace &amp; 6 Transit</t>
  </si>
  <si>
    <t>4</t>
  </si>
  <si>
    <t>2 Hiace &amp; 2 Transit</t>
  </si>
  <si>
    <t>Op 0</t>
  </si>
  <si>
    <t>New Hiace 1 year
Car year 2012 up</t>
  </si>
  <si>
    <t>New Hiace 3 years
Car year 2012 up</t>
  </si>
  <si>
    <t>New Transit 1 year
Car year 2012 up</t>
  </si>
  <si>
    <t>New Transit 3 years 
Car year 2012 up</t>
  </si>
  <si>
    <t>Op 6 + replace some car year 2008, 2010</t>
  </si>
  <si>
    <t>Contract distance increase from 4,000 km to 4,300 km
Replace 1 Innova Logitem by new supplier</t>
  </si>
  <si>
    <t>Lexus + Camry + Innova + Hiace + Transit</t>
  </si>
  <si>
    <t>GD new car</t>
  </si>
  <si>
    <t>GD new car + 8 new Hiace</t>
  </si>
  <si>
    <t>GD new car + 8 new Transit</t>
  </si>
  <si>
    <t>GD new car + 4 new Hiace &amp; 4 new Transit</t>
  </si>
  <si>
    <t>Same Op 1</t>
  </si>
  <si>
    <t>12 new Hiace</t>
  </si>
  <si>
    <t>12 new Transit</t>
  </si>
  <si>
    <t>6 new Hiace &amp; 6 new Transit</t>
  </si>
  <si>
    <t>3 new Hiace &amp; 3 new Transit</t>
  </si>
  <si>
    <t>4 new Hiace &amp; 1 new Transit</t>
  </si>
  <si>
    <t>5 new Transit</t>
  </si>
  <si>
    <t>2 new Hiace &amp; 3 new Transit</t>
  </si>
  <si>
    <t>2 new Hiace &amp; 1 new Transit</t>
  </si>
  <si>
    <t>Lexus + Camry + Xpander + Hiace + Transit</t>
  </si>
  <si>
    <t>Innova car</t>
  </si>
  <si>
    <t>Xpander car</t>
  </si>
  <si>
    <t xml:space="preserve">25 Hiace 2021
contract 1 year </t>
  </si>
  <si>
    <t>25 Hiace 2021
contract 3 years</t>
  </si>
  <si>
    <t>25 Transit 2021
contract 1 year</t>
  </si>
  <si>
    <t>25 Transit 2021
contract 3 years</t>
  </si>
  <si>
    <t>13 Hiace + 12 Transit contract 1 year</t>
  </si>
  <si>
    <t>OT</t>
  </si>
  <si>
    <t>FM</t>
  </si>
  <si>
    <t>11 seats</t>
  </si>
  <si>
    <t>7 seats</t>
  </si>
  <si>
    <t>11 seats night</t>
  </si>
  <si>
    <t>11 seats day</t>
  </si>
  <si>
    <t>7 seats day</t>
  </si>
  <si>
    <t>7 seats night</t>
  </si>
  <si>
    <t>Innova logitem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</si>
  <si>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</si>
  <si>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</si>
  <si>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</si>
  <si>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</si>
  <si>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</si>
  <si>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</si>
  <si>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</si>
  <si>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</si>
  <si>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</si>
  <si>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</si>
  <si>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</si>
  <si>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</si>
  <si>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Avr</t>
  </si>
  <si>
    <t>Unit price</t>
  </si>
  <si>
    <t>Amount</t>
  </si>
  <si>
    <t>Q'ty car</t>
  </si>
  <si>
    <t>Km without guest</t>
  </si>
  <si>
    <t>Ko tinh km khong khach, overtime giam do khach len xe moi tinh tien</t>
  </si>
  <si>
    <t>GD</t>
  </si>
  <si>
    <t>7 seats 
day</t>
  </si>
  <si>
    <t>7 seats Innova Logitem</t>
  </si>
  <si>
    <t>Km no guest</t>
  </si>
  <si>
    <t>Holiday</t>
  </si>
  <si>
    <t>Price</t>
  </si>
  <si>
    <t>avr 2020</t>
  </si>
  <si>
    <t>COST COMPARISON (OP 2)</t>
  </si>
  <si>
    <t>1 Hiace &amp; 1 Transit</t>
  </si>
  <si>
    <t>Keep car &amp; supplier as current TS QV</t>
  </si>
  <si>
    <t>Keep car &amp; supplier as current in QV TS, TL new supplier</t>
  </si>
  <si>
    <t>Keep car as current, change Red by Huong Viet</t>
  </si>
  <si>
    <t>Keep car &amp; supplier as current</t>
  </si>
  <si>
    <t>Cost comparison (USD/month/3fac)</t>
  </si>
  <si>
    <t>Op 1 (keep current car &amp; current supplier)</t>
  </si>
  <si>
    <t>Op 2 (keep current car &amp; new supplier 7 seats car)</t>
  </si>
  <si>
    <t>Op 3 (replace 25/47 cars 11 seats by Hiace)</t>
  </si>
  <si>
    <t>Op 4 (replace 25/47 cars 11 seats by Transit)</t>
  </si>
  <si>
    <t>Op 5 (replace 10/47 cars 11 seats by Hiace)</t>
  </si>
  <si>
    <t>Op 6 (replace 10/47 cars 11 seats, )</t>
  </si>
  <si>
    <t>Supplier</t>
  </si>
  <si>
    <t>Logitem &amp; Red river</t>
  </si>
  <si>
    <t>Logitem, Huong Viet</t>
  </si>
  <si>
    <t>Hiace, Innova</t>
  </si>
  <si>
    <t>Hiace, Transit (new), Innova</t>
  </si>
  <si>
    <t>Hiace, Xpander</t>
  </si>
  <si>
    <t>Contract term</t>
  </si>
  <si>
    <t>1 year</t>
  </si>
  <si>
    <t>New Hiace 2021 - 3 years
Other: 1 year</t>
  </si>
  <si>
    <t>New Transit 2021 - 3 years
Other: 1 year</t>
  </si>
  <si>
    <t>Remark</t>
  </si>
  <si>
    <t>Cost</t>
  </si>
  <si>
    <t>Car quality</t>
  </si>
  <si>
    <t>Service</t>
  </si>
  <si>
    <t>avr/car</t>
  </si>
  <si>
    <t>Innova (Logitem)</t>
  </si>
  <si>
    <t>Contract distance (km)</t>
  </si>
  <si>
    <t>Actual distance (2019)</t>
  </si>
  <si>
    <t>Actual distance (2020)</t>
  </si>
  <si>
    <t>Proposal</t>
  </si>
  <si>
    <t>Contract distance</t>
  </si>
  <si>
    <t>Lexus</t>
  </si>
  <si>
    <t>Option 1</t>
  </si>
  <si>
    <t>Contract distance 2,000 km</t>
  </si>
  <si>
    <t>Contract distance 1,800 km</t>
  </si>
  <si>
    <t>Option 2</t>
  </si>
  <si>
    <t>TL (new car)</t>
  </si>
  <si>
    <t>TL (keep current)</t>
  </si>
  <si>
    <t>Rental fee</t>
  </si>
  <si>
    <t>Fuel charge</t>
  </si>
  <si>
    <t>Over distance</t>
  </si>
  <si>
    <t>Over time</t>
  </si>
  <si>
    <t>Extra day (full)</t>
  </si>
  <si>
    <t>Extra day (half)</t>
  </si>
  <si>
    <t>Over night &amp; outside HN</t>
  </si>
  <si>
    <t>Tet holiday</t>
  </si>
  <si>
    <t>Adjust contract distance</t>
  </si>
  <si>
    <t>New car (LS 250)</t>
  </si>
  <si>
    <t>Keep current car</t>
  </si>
  <si>
    <t>Contract distance 1,600 km</t>
  </si>
  <si>
    <t>Contract distance 2,100 km</t>
  </si>
  <si>
    <t>Contract distance 1,200 km</t>
  </si>
  <si>
    <t>Contract distance 2,400 km</t>
  </si>
  <si>
    <t>Contract distance 4,000 km</t>
  </si>
  <si>
    <t>Contract distance 4,000 km day</t>
  </si>
  <si>
    <t>Contract distance 2,600 km night</t>
  </si>
  <si>
    <t>QV day</t>
  </si>
  <si>
    <t>QV night</t>
  </si>
  <si>
    <t>Current Innova Logitem in TS</t>
  </si>
  <si>
    <t>Contract distance 4,300 km day</t>
  </si>
  <si>
    <t>TS Logitem (current)</t>
  </si>
  <si>
    <t>TS Huong Viet</t>
  </si>
  <si>
    <t>TS red river Op 1</t>
  </si>
  <si>
    <t>TS Hanoi trans op 1</t>
  </si>
  <si>
    <t>New proposal</t>
  </si>
  <si>
    <t>4th</t>
  </si>
  <si>
    <t>TL 2021</t>
  </si>
  <si>
    <t>QV 2021</t>
  </si>
  <si>
    <t>TS 2021</t>
  </si>
  <si>
    <t>TS Innova 2017 (current day)</t>
  </si>
  <si>
    <t>27 xe</t>
  </si>
  <si>
    <t>Hour/day</t>
  </si>
  <si>
    <t>Hour/month</t>
  </si>
  <si>
    <t>User</t>
  </si>
  <si>
    <t>Mr Vung</t>
  </si>
  <si>
    <t>Ca đêm:</t>
  </si>
  <si>
    <t>Mr Dat LB, Mr Tien, Ms Hoe</t>
  </si>
  <si>
    <t>17:00 ~ 7:00</t>
  </si>
  <si>
    <t>Xuất phát từ 16:00 để 17:00 tại CVN --&gt; OT 1h</t>
  </si>
  <si>
    <t>Mr Nam</t>
  </si>
  <si>
    <t>18:00 ~ 7:00</t>
  </si>
  <si>
    <t>17h có mặt --&gt; OT 1h</t>
  </si>
  <si>
    <t>Contract distance 3,400 km day &amp; 2,500 km night</t>
  </si>
  <si>
    <t>Contract distance 4,600 km day &amp; 4,500 km night</t>
  </si>
  <si>
    <t>Contract distance 4,000 km day &amp; 3,500 km night</t>
  </si>
  <si>
    <t>Contract distance 3,200 km day &amp; 2,300 km night</t>
  </si>
  <si>
    <t>Contract distance 4,300 km day &amp; 4,500 km night</t>
  </si>
  <si>
    <t>Contract distance 4,300 km day &amp; 3,100 km night</t>
  </si>
  <si>
    <t>Logitem 1 year Hiace</t>
  </si>
  <si>
    <t>Logitem 1 &amp; 3 years Hiace</t>
  </si>
  <si>
    <t>Logitem 1 year Transit</t>
  </si>
  <si>
    <t>Logitem 3 years Transit</t>
  </si>
  <si>
    <t>Huong Viet 3 years Transit</t>
  </si>
  <si>
    <t>Contract distance 4,000 km day &amp; 2,600 km night</t>
  </si>
  <si>
    <t>Contract 3 years, 2021</t>
  </si>
  <si>
    <t>Contract distance 3,200 km day, 2,300 km night</t>
  </si>
  <si>
    <t>Contract distance 4,300 km</t>
  </si>
  <si>
    <t>TS (replace Innova Logitem)</t>
  </si>
  <si>
    <t>TS Xpander (replace Innova Logitem)</t>
  </si>
  <si>
    <t>TS Xpander</t>
  </si>
  <si>
    <t>Hiace</t>
  </si>
  <si>
    <t xml:space="preserve">Contract distance 3,400 km day </t>
  </si>
  <si>
    <t xml:space="preserve">Contract distance 4,600 km day </t>
  </si>
  <si>
    <t xml:space="preserve">Contract distance 4,000 km day </t>
  </si>
  <si>
    <t>Current (day shift)</t>
  </si>
  <si>
    <t>Current (day shift 2012 up)</t>
  </si>
  <si>
    <t>New day shift - Keep current car (2008 up) Op 1</t>
  </si>
  <si>
    <t>New day shift - Keep current car (2008 up) Op 2</t>
  </si>
  <si>
    <t>New day shift - Current car (2012 ~ 2018) Op 1</t>
  </si>
  <si>
    <t>New day shift - Current car (2012 ~ 2018) Op 2</t>
  </si>
  <si>
    <t>New day shift - Current car</t>
  </si>
  <si>
    <t>New day shift - Hiace 2021 1 year</t>
  </si>
  <si>
    <t>New day shift - Hiace 2021 3 years</t>
  </si>
  <si>
    <t>Contract distance 2,500 km night</t>
  </si>
  <si>
    <t>Contract distance 4,500 km night</t>
  </si>
  <si>
    <t>Contract distance 3,500 km night</t>
  </si>
  <si>
    <t>Current (night shift)</t>
  </si>
  <si>
    <t>Contract distance 2,300 km night</t>
  </si>
  <si>
    <t>Contract distance 3,100 km night</t>
  </si>
  <si>
    <t>3 years</t>
  </si>
  <si>
    <t>New (night shift)</t>
  </si>
  <si>
    <t>TL night 2012</t>
  </si>
  <si>
    <t>QV night 2012</t>
  </si>
  <si>
    <t>TS night 2012</t>
  </si>
  <si>
    <t>QV night 2010 op 2</t>
  </si>
  <si>
    <t>TS night 2011 op 2</t>
  </si>
  <si>
    <t>TS night 2021, Transit, 3 years</t>
  </si>
  <si>
    <t>TL night 2010</t>
  </si>
  <si>
    <t>Current car &amp; new Hiace 1 year</t>
  </si>
  <si>
    <t>TL night 2012 op 1</t>
  </si>
  <si>
    <t>TL night 2012 op 2</t>
  </si>
  <si>
    <t>Transit</t>
  </si>
  <si>
    <t>New day shift - Current car (2008 up)</t>
  </si>
  <si>
    <t>Logitem 2021 Hiace 1 year</t>
  </si>
  <si>
    <t>New day shift - Current car (2012 ~ 2018)</t>
  </si>
  <si>
    <t>QV night 2010</t>
  </si>
  <si>
    <t>TS night 2011</t>
  </si>
  <si>
    <t>QV night 2021 Transit 1 year</t>
  </si>
  <si>
    <t>QV night 2021 Transit 3 years</t>
  </si>
  <si>
    <t>TS night 2021, Transit, 1 years</t>
  </si>
  <si>
    <t>Contract distance 3,200 km day</t>
  </si>
  <si>
    <t>Logitem Transit 1 year (day)</t>
  </si>
  <si>
    <t>Logitem Transit 1 year (night)</t>
  </si>
  <si>
    <t>Logitem Transit 3 years (day)</t>
  </si>
  <si>
    <t>Logitem Transit 3 years (night)</t>
  </si>
  <si>
    <t>Huong Viet 3 years Transit (day shift)</t>
  </si>
  <si>
    <t>Huong Viet 3 years Transit (night shift)</t>
  </si>
  <si>
    <t>TS red river</t>
  </si>
  <si>
    <t>TS Hanoi trans</t>
  </si>
  <si>
    <t>2nd</t>
  </si>
  <si>
    <t>Camry 2.0</t>
  </si>
  <si>
    <t>3Q</t>
  </si>
  <si>
    <t>4Q</t>
  </si>
  <si>
    <t>Night shift Logitem</t>
  </si>
  <si>
    <t>Night shift Red</t>
  </si>
  <si>
    <t>Rental</t>
  </si>
  <si>
    <t>Fuel</t>
  </si>
  <si>
    <t>Red</t>
  </si>
  <si>
    <t>HV</t>
  </si>
  <si>
    <t>TL (new car proposal May.2021)</t>
  </si>
  <si>
    <t>Current (before bidding)</t>
  </si>
  <si>
    <t>After bidding</t>
  </si>
  <si>
    <t>USD</t>
  </si>
  <si>
    <t>Current car (Logitem &amp; RR)</t>
  </si>
  <si>
    <t>25/47 new Hiace, 3 years, Innova</t>
  </si>
  <si>
    <t>25/47 new Hiace, 3 years, Xpander</t>
  </si>
  <si>
    <t>10/47 new Hiace, 3 years, Innova</t>
  </si>
  <si>
    <t>10/47 new Hiace, 3 years, Xpander</t>
  </si>
  <si>
    <t>TL: 8, QV: 12, TS: 5</t>
  </si>
  <si>
    <t>QV: 8, TS: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</si>
</sst>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 "/>
    <numFmt numFmtId="165" formatCode="_(* #,##0_);_(* \(#,##0\);_(* &quot;-&quot;??_);_(@_)"/>
    <numFmt numFmtId="166" formatCode="_(* #,##0.0_);_(* \(#,##0.0\);_(* &quot;-&quot;??_);_(@_)"/>
    <numFmt numFmtId="167" formatCode="_(&quot;$&quot;* #,##0_);_(&quot;$&quot;* \(#,##0\);_(&quot;$&quot;* &quot;-&quot;??_);_(@_)"/>
    <numFmt numFmtId="168" formatCode="0_ "/>
    <numFmt numFmtId="169" formatCode="_(* #,##0.000_);_(* \(#,##0.000\);_(* &quot;-&quot;??_);_(@_)"/>
    <numFmt numFmtId="170" formatCode="0.00_ "/>
    <numFmt numFmtId="171" formatCode="_(* #,##0.0_);_(* \(#,##0.0\);_(* &quot;-&quot;??.0_);_(@_)"/>
  </numFmts>
  <fonts count="3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Arial"/>
      <family val="2"/>
    </font>
    <font>
      <sz val="13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1"/>
      <name val="ＭＳ Ｐゴシック"/>
      <charset val="128"/>
    </font>
    <font>
      <b/>
      <sz val="9"/>
      <name val="Tahoma"/>
      <family val="2"/>
    </font>
    <font>
      <sz val="9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43" fontId="30" fillId="0" borderId="0" applyFont="0" applyFill="0" applyBorder="0" applyAlignment="0" applyProtection="0"/>
    <xf numFmtId="44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30" fillId="0" borderId="0"/>
    <xf numFmtId="43" fontId="30" fillId="0" borderId="0" applyFont="0" applyFill="0" applyBorder="0" applyAlignment="0" applyProtection="0"/>
    <xf numFmtId="0" fontId="25" fillId="0" borderId="0"/>
    <xf numFmtId="0" fontId="24" fillId="0" borderId="0"/>
    <xf numFmtId="40" fontId="25" fillId="0" borderId="0" applyFont="0" applyFill="0" applyBorder="0" applyAlignment="0" applyProtection="0"/>
    <xf numFmtId="43" fontId="30" fillId="0" borderId="0" applyFont="0" applyFill="0" applyBorder="0" applyAlignment="0" applyProtection="0"/>
  </cellStyleXfs>
  <cellXfs count="386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/>
    <xf numFmtId="165" fontId="0" fillId="0" borderId="6" xfId="1" applyNumberFormat="1" applyFont="1" applyBorder="1"/>
    <xf numFmtId="0" fontId="3" fillId="0" borderId="6" xfId="0" applyFont="1" applyBorder="1"/>
    <xf numFmtId="165" fontId="3" fillId="0" borderId="6" xfId="1" applyNumberFormat="1" applyFont="1" applyBorder="1"/>
    <xf numFmtId="0" fontId="3" fillId="0" borderId="0" xfId="0" applyFont="1" applyAlignment="1">
      <alignment horizontal="center" vertical="center"/>
    </xf>
    <xf numFmtId="165" fontId="3" fillId="0" borderId="0" xfId="1" applyNumberFormat="1" applyFont="1"/>
    <xf numFmtId="166" fontId="0" fillId="0" borderId="6" xfId="1" applyNumberFormat="1" applyFont="1" applyBorder="1"/>
    <xf numFmtId="165" fontId="5" fillId="0" borderId="0" xfId="0" applyNumberFormat="1" applyFont="1"/>
    <xf numFmtId="166" fontId="3" fillId="0" borderId="6" xfId="1" applyNumberFormat="1" applyFont="1" applyBorder="1"/>
    <xf numFmtId="166" fontId="3" fillId="0" borderId="0" xfId="1" applyNumberFormat="1" applyFont="1"/>
    <xf numFmtId="165" fontId="3" fillId="0" borderId="6" xfId="0" applyNumberFormat="1" applyFont="1" applyBorder="1"/>
    <xf numFmtId="165" fontId="0" fillId="2" borderId="6" xfId="0" applyNumberFormat="1" applyFill="1" applyBorder="1"/>
    <xf numFmtId="165" fontId="0" fillId="0" borderId="6" xfId="0" applyNumberFormat="1" applyFill="1" applyBorder="1"/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/>
    <xf numFmtId="0" fontId="0" fillId="0" borderId="0" xfId="0" applyFont="1"/>
    <xf numFmtId="0" fontId="0" fillId="2" borderId="6" xfId="0" applyFill="1" applyBorder="1"/>
    <xf numFmtId="0" fontId="6" fillId="0" borderId="0" xfId="0" applyFont="1"/>
    <xf numFmtId="165" fontId="0" fillId="0" borderId="0" xfId="1" applyNumberFormat="1" applyFont="1"/>
    <xf numFmtId="0" fontId="7" fillId="0" borderId="6" xfId="0" applyFont="1" applyBorder="1"/>
    <xf numFmtId="165" fontId="7" fillId="0" borderId="6" xfId="1" applyNumberFormat="1" applyFont="1" applyBorder="1"/>
    <xf numFmtId="165" fontId="8" fillId="0" borderId="0" xfId="1" applyNumberFormat="1" applyFont="1"/>
    <xf numFmtId="0" fontId="8" fillId="0" borderId="0" xfId="0" applyFont="1"/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8" fillId="0" borderId="6" xfId="0" applyFont="1" applyBorder="1"/>
    <xf numFmtId="165" fontId="8" fillId="0" borderId="6" xfId="1" applyNumberFormat="1" applyFont="1" applyBorder="1"/>
    <xf numFmtId="1" fontId="8" fillId="0" borderId="6" xfId="0" applyNumberFormat="1" applyFont="1" applyBorder="1"/>
    <xf numFmtId="0" fontId="4" fillId="0" borderId="6" xfId="0" applyFont="1" applyBorder="1"/>
    <xf numFmtId="165" fontId="4" fillId="0" borderId="6" xfId="1" applyNumberFormat="1" applyFont="1" applyBorder="1"/>
    <xf numFmtId="165" fontId="8" fillId="0" borderId="0" xfId="1" applyNumberFormat="1" applyFont="1" applyFill="1" applyBorder="1"/>
    <xf numFmtId="0" fontId="8" fillId="0" borderId="0" xfId="0" applyFont="1" applyBorder="1"/>
    <xf numFmtId="0" fontId="9" fillId="0" borderId="0" xfId="0" applyFont="1"/>
    <xf numFmtId="0" fontId="8" fillId="2" borderId="0" xfId="0" applyFont="1" applyFill="1"/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/>
    <xf numFmtId="43" fontId="8" fillId="0" borderId="6" xfId="0" applyNumberFormat="1" applyFont="1" applyBorder="1"/>
    <xf numFmtId="166" fontId="8" fillId="0" borderId="6" xfId="1" applyNumberFormat="1" applyFont="1" applyBorder="1"/>
    <xf numFmtId="0" fontId="4" fillId="0" borderId="0" xfId="0" applyFont="1" applyAlignment="1">
      <alignment horizontal="center" vertical="center"/>
    </xf>
    <xf numFmtId="0" fontId="8" fillId="2" borderId="6" xfId="0" applyFont="1" applyFill="1" applyBorder="1"/>
    <xf numFmtId="165" fontId="4" fillId="0" borderId="0" xfId="1" applyNumberFormat="1" applyFont="1"/>
    <xf numFmtId="165" fontId="10" fillId="0" borderId="0" xfId="0" applyNumberFormat="1" applyFont="1"/>
    <xf numFmtId="165" fontId="10" fillId="0" borderId="0" xfId="1" applyNumberFormat="1" applyFont="1"/>
    <xf numFmtId="166" fontId="4" fillId="0" borderId="6" xfId="1" applyNumberFormat="1" applyFont="1" applyBorder="1"/>
    <xf numFmtId="166" fontId="4" fillId="0" borderId="0" xfId="1" applyNumberFormat="1" applyFont="1" applyBorder="1"/>
    <xf numFmtId="0" fontId="9" fillId="0" borderId="6" xfId="0" applyFont="1" applyBorder="1"/>
    <xf numFmtId="43" fontId="8" fillId="2" borderId="6" xfId="0" applyNumberFormat="1" applyFont="1" applyFill="1" applyBorder="1"/>
    <xf numFmtId="165" fontId="4" fillId="0" borderId="6" xfId="0" applyNumberFormat="1" applyFont="1" applyBorder="1"/>
    <xf numFmtId="165" fontId="8" fillId="0" borderId="0" xfId="0" applyNumberFormat="1" applyFont="1"/>
    <xf numFmtId="43" fontId="8" fillId="0" borderId="6" xfId="1" applyNumberFormat="1" applyFont="1" applyBorder="1"/>
    <xf numFmtId="0" fontId="8" fillId="0" borderId="6" xfId="0" applyFont="1" applyBorder="1" applyAlignment="1">
      <alignment horizontal="center" vertical="center"/>
    </xf>
    <xf numFmtId="20" fontId="8" fillId="0" borderId="0" xfId="0" applyNumberFormat="1" applyFont="1"/>
    <xf numFmtId="0" fontId="8" fillId="0" borderId="6" xfId="0" applyFont="1" applyBorder="1" applyAlignment="1">
      <alignment horizontal="left" vertical="center"/>
    </xf>
    <xf numFmtId="165" fontId="8" fillId="0" borderId="6" xfId="0" applyNumberFormat="1" applyFont="1" applyBorder="1"/>
    <xf numFmtId="165" fontId="4" fillId="0" borderId="0" xfId="0" applyNumberFormat="1" applyFont="1" applyBorder="1"/>
    <xf numFmtId="168" fontId="8" fillId="2" borderId="6" xfId="0" applyNumberFormat="1" applyFont="1" applyFill="1" applyBorder="1"/>
    <xf numFmtId="168" fontId="8" fillId="0" borderId="6" xfId="0" applyNumberFormat="1" applyFont="1" applyBorder="1"/>
    <xf numFmtId="165" fontId="4" fillId="0" borderId="0" xfId="0" applyNumberFormat="1" applyFont="1"/>
    <xf numFmtId="165" fontId="8" fillId="2" borderId="6" xfId="1" applyNumberFormat="1" applyFont="1" applyFill="1" applyBorder="1"/>
    <xf numFmtId="166" fontId="4" fillId="0" borderId="0" xfId="1" applyNumberFormat="1" applyFont="1"/>
    <xf numFmtId="169" fontId="4" fillId="0" borderId="0" xfId="0" applyNumberFormat="1" applyFont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165" fontId="8" fillId="0" borderId="0" xfId="1" applyNumberFormat="1" applyFont="1" applyBorder="1"/>
    <xf numFmtId="165" fontId="9" fillId="0" borderId="0" xfId="0" applyNumberFormat="1" applyFont="1"/>
    <xf numFmtId="0" fontId="8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65" fontId="8" fillId="0" borderId="0" xfId="0" applyNumberFormat="1" applyFont="1" applyFill="1" applyBorder="1"/>
    <xf numFmtId="168" fontId="8" fillId="0" borderId="0" xfId="0" applyNumberFormat="1" applyFont="1" applyFill="1" applyBorder="1"/>
    <xf numFmtId="0" fontId="4" fillId="0" borderId="0" xfId="0" applyFont="1" applyFill="1" applyBorder="1"/>
    <xf numFmtId="165" fontId="4" fillId="0" borderId="0" xfId="1" applyNumberFormat="1" applyFont="1" applyFill="1" applyBorder="1"/>
    <xf numFmtId="166" fontId="4" fillId="0" borderId="0" xfId="1" applyNumberFormat="1" applyFont="1" applyFill="1" applyBorder="1"/>
    <xf numFmtId="165" fontId="8" fillId="0" borderId="0" xfId="1" applyNumberFormat="1" applyFont="1" applyAlignment="1">
      <alignment vertical="center"/>
    </xf>
    <xf numFmtId="165" fontId="8" fillId="0" borderId="6" xfId="1" applyNumberFormat="1" applyFont="1" applyFill="1" applyBorder="1"/>
    <xf numFmtId="0" fontId="4" fillId="0" borderId="6" xfId="0" applyFont="1" applyBorder="1" applyAlignment="1">
      <alignment vertical="center"/>
    </xf>
    <xf numFmtId="43" fontId="4" fillId="0" borderId="6" xfId="1" applyNumberFormat="1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20" fontId="12" fillId="0" borderId="0" xfId="7" applyNumberFormat="1" applyFont="1" applyFill="1" applyBorder="1" applyAlignment="1">
      <alignment horizontal="center" vertical="center"/>
    </xf>
    <xf numFmtId="20" fontId="0" fillId="0" borderId="0" xfId="0" applyNumberFormat="1"/>
    <xf numFmtId="170" fontId="0" fillId="0" borderId="0" xfId="0" applyNumberFormat="1"/>
    <xf numFmtId="165" fontId="8" fillId="0" borderId="0" xfId="0" applyNumberFormat="1" applyFont="1" applyBorder="1"/>
    <xf numFmtId="165" fontId="4" fillId="0" borderId="6" xfId="0" applyNumberFormat="1" applyFont="1" applyBorder="1" applyAlignment="1">
      <alignment vertical="center"/>
    </xf>
    <xf numFmtId="0" fontId="9" fillId="0" borderId="0" xfId="0" applyFont="1" applyBorder="1"/>
    <xf numFmtId="165" fontId="9" fillId="0" borderId="0" xfId="1" applyNumberFormat="1" applyFont="1" applyBorder="1"/>
    <xf numFmtId="165" fontId="10" fillId="0" borderId="0" xfId="0" applyNumberFormat="1" applyFont="1" applyBorder="1"/>
    <xf numFmtId="165" fontId="9" fillId="0" borderId="6" xfId="1" applyNumberFormat="1" applyFont="1" applyBorder="1"/>
    <xf numFmtId="166" fontId="4" fillId="3" borderId="0" xfId="1" applyNumberFormat="1" applyFont="1" applyFill="1" applyBorder="1"/>
    <xf numFmtId="165" fontId="4" fillId="3" borderId="0" xfId="1" applyNumberFormat="1" applyFont="1" applyFill="1" applyBorder="1" applyAlignment="1">
      <alignment vertical="center"/>
    </xf>
    <xf numFmtId="0" fontId="7" fillId="0" borderId="0" xfId="0" applyFont="1"/>
    <xf numFmtId="0" fontId="11" fillId="0" borderId="0" xfId="0" applyFont="1"/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1" fontId="7" fillId="0" borderId="6" xfId="0" applyNumberFormat="1" applyFont="1" applyBorder="1"/>
    <xf numFmtId="0" fontId="11" fillId="0" borderId="6" xfId="0" applyFont="1" applyBorder="1"/>
    <xf numFmtId="165" fontId="11" fillId="0" borderId="6" xfId="1" applyNumberFormat="1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 vertical="center"/>
    </xf>
    <xf numFmtId="165" fontId="11" fillId="0" borderId="0" xfId="1" applyNumberFormat="1" applyFont="1" applyBorder="1"/>
    <xf numFmtId="0" fontId="13" fillId="0" borderId="0" xfId="0" applyFont="1"/>
    <xf numFmtId="166" fontId="7" fillId="0" borderId="6" xfId="1" applyNumberFormat="1" applyFont="1" applyBorder="1"/>
    <xf numFmtId="165" fontId="11" fillId="0" borderId="6" xfId="0" applyNumberFormat="1" applyFont="1" applyBorder="1"/>
    <xf numFmtId="165" fontId="14" fillId="0" borderId="0" xfId="0" applyNumberFormat="1" applyFont="1"/>
    <xf numFmtId="165" fontId="7" fillId="0" borderId="0" xfId="1" applyNumberFormat="1" applyFont="1" applyBorder="1"/>
    <xf numFmtId="166" fontId="11" fillId="0" borderId="6" xfId="1" applyNumberFormat="1" applyFont="1" applyBorder="1"/>
    <xf numFmtId="165" fontId="7" fillId="0" borderId="7" xfId="1" applyNumberFormat="1" applyFont="1" applyFill="1" applyBorder="1"/>
    <xf numFmtId="165" fontId="7" fillId="0" borderId="0" xfId="0" applyNumberFormat="1" applyFont="1"/>
    <xf numFmtId="1" fontId="0" fillId="0" borderId="6" xfId="0" applyNumberFormat="1" applyBorder="1"/>
    <xf numFmtId="165" fontId="3" fillId="2" borderId="6" xfId="1" applyNumberFormat="1" applyFont="1" applyFill="1" applyBorder="1"/>
    <xf numFmtId="165" fontId="0" fillId="0" borderId="0" xfId="1" applyNumberFormat="1" applyFont="1" applyFill="1" applyBorder="1"/>
    <xf numFmtId="0" fontId="0" fillId="0" borderId="0" xfId="0" applyBorder="1"/>
    <xf numFmtId="0" fontId="0" fillId="2" borderId="0" xfId="0" applyFont="1" applyFill="1"/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165" fontId="3" fillId="0" borderId="0" xfId="1" applyNumberFormat="1" applyFont="1" applyBorder="1"/>
    <xf numFmtId="43" fontId="0" fillId="0" borderId="6" xfId="0" applyNumberFormat="1" applyBorder="1"/>
    <xf numFmtId="165" fontId="5" fillId="0" borderId="0" xfId="1" applyNumberFormat="1" applyFont="1"/>
    <xf numFmtId="165" fontId="0" fillId="0" borderId="7" xfId="1" applyNumberFormat="1" applyFont="1" applyFill="1" applyBorder="1"/>
    <xf numFmtId="166" fontId="3" fillId="0" borderId="0" xfId="1" applyNumberFormat="1" applyFont="1" applyBorder="1"/>
    <xf numFmtId="165" fontId="6" fillId="0" borderId="0" xfId="0" applyNumberFormat="1" applyFont="1"/>
    <xf numFmtId="0" fontId="6" fillId="0" borderId="6" xfId="0" applyFont="1" applyBorder="1"/>
    <xf numFmtId="43" fontId="0" fillId="2" borderId="6" xfId="0" applyNumberFormat="1" applyFill="1" applyBorder="1"/>
    <xf numFmtId="43" fontId="0" fillId="0" borderId="6" xfId="1" applyNumberFormat="1" applyFont="1" applyBorder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43" fontId="0" fillId="0" borderId="0" xfId="0" applyNumberFormat="1"/>
    <xf numFmtId="9" fontId="0" fillId="0" borderId="0" xfId="3" applyFont="1" applyAlignment="1"/>
    <xf numFmtId="9" fontId="6" fillId="0" borderId="0" xfId="3" applyFont="1" applyAlignment="1"/>
    <xf numFmtId="165" fontId="0" fillId="0" borderId="0" xfId="0" applyNumberFormat="1" applyFont="1"/>
    <xf numFmtId="20" fontId="0" fillId="0" borderId="0" xfId="0" applyNumberFormat="1" applyFont="1"/>
    <xf numFmtId="0" fontId="0" fillId="0" borderId="6" xfId="0" applyFill="1" applyBorder="1"/>
    <xf numFmtId="0" fontId="15" fillId="0" borderId="0" xfId="0" applyFont="1"/>
    <xf numFmtId="0" fontId="16" fillId="0" borderId="0" xfId="0" applyFont="1"/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16" fillId="0" borderId="6" xfId="0" applyFont="1" applyBorder="1"/>
    <xf numFmtId="165" fontId="16" fillId="0" borderId="6" xfId="1" applyNumberFormat="1" applyFont="1" applyBorder="1"/>
    <xf numFmtId="0" fontId="15" fillId="0" borderId="6" xfId="0" applyFont="1" applyBorder="1"/>
    <xf numFmtId="165" fontId="15" fillId="0" borderId="6" xfId="1" applyNumberFormat="1" applyFont="1" applyBorder="1"/>
    <xf numFmtId="0" fontId="16" fillId="2" borderId="6" xfId="0" applyFont="1" applyFill="1" applyBorder="1"/>
    <xf numFmtId="165" fontId="16" fillId="0" borderId="0" xfId="0" applyNumberFormat="1" applyFont="1"/>
    <xf numFmtId="165" fontId="16" fillId="0" borderId="0" xfId="1" applyNumberFormat="1" applyFont="1"/>
    <xf numFmtId="166" fontId="16" fillId="0" borderId="6" xfId="1" applyNumberFormat="1" applyFont="1" applyBorder="1"/>
    <xf numFmtId="165" fontId="15" fillId="0" borderId="6" xfId="0" applyNumberFormat="1" applyFont="1" applyBorder="1"/>
    <xf numFmtId="165" fontId="17" fillId="0" borderId="0" xfId="0" applyNumberFormat="1" applyFont="1"/>
    <xf numFmtId="166" fontId="15" fillId="0" borderId="6" xfId="1" applyNumberFormat="1" applyFont="1" applyBorder="1"/>
    <xf numFmtId="0" fontId="0" fillId="0" borderId="4" xfId="0" applyBorder="1" applyAlignment="1">
      <alignment horizontal="center" vertical="center"/>
    </xf>
    <xf numFmtId="165" fontId="18" fillId="0" borderId="6" xfId="1" applyNumberFormat="1" applyFont="1" applyBorder="1"/>
    <xf numFmtId="43" fontId="19" fillId="0" borderId="0" xfId="1" applyFont="1"/>
    <xf numFmtId="165" fontId="8" fillId="2" borderId="6" xfId="0" applyNumberFormat="1" applyFont="1" applyFill="1" applyBorder="1"/>
    <xf numFmtId="0" fontId="20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ill="1" applyBorder="1"/>
    <xf numFmtId="167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6" xfId="0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67" fontId="0" fillId="0" borderId="6" xfId="2" applyNumberFormat="1" applyFont="1" applyBorder="1" applyAlignment="1"/>
    <xf numFmtId="167" fontId="0" fillId="0" borderId="0" xfId="2" applyNumberFormat="1" applyFont="1" applyAlignment="1"/>
    <xf numFmtId="0" fontId="0" fillId="0" borderId="6" xfId="0" applyFont="1" applyFill="1" applyBorder="1" applyAlignment="1">
      <alignment vertical="center"/>
    </xf>
    <xf numFmtId="167" fontId="0" fillId="0" borderId="6" xfId="0" applyNumberFormat="1" applyFont="1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2" xfId="0" applyBorder="1"/>
    <xf numFmtId="166" fontId="0" fillId="2" borderId="0" xfId="1" applyNumberFormat="1" applyFont="1" applyFill="1"/>
    <xf numFmtId="0" fontId="0" fillId="0" borderId="0" xfId="0" applyFont="1" applyAlignment="1">
      <alignment horizontal="center" vertical="center" wrapText="1"/>
    </xf>
    <xf numFmtId="165" fontId="0" fillId="2" borderId="0" xfId="1" applyNumberFormat="1" applyFont="1" applyFill="1"/>
    <xf numFmtId="168" fontId="6" fillId="0" borderId="0" xfId="0" applyNumberFormat="1" applyFont="1"/>
    <xf numFmtId="164" fontId="0" fillId="0" borderId="6" xfId="0" applyNumberFormat="1" applyBorder="1"/>
    <xf numFmtId="0" fontId="0" fillId="0" borderId="0" xfId="0" applyFont="1" applyBorder="1" applyAlignment="1">
      <alignment horizontal="center" vertical="center" wrapText="1"/>
    </xf>
    <xf numFmtId="0" fontId="0" fillId="0" borderId="2" xfId="0" applyFill="1" applyBorder="1"/>
    <xf numFmtId="0" fontId="0" fillId="0" borderId="0" xfId="0" applyFont="1" applyBorder="1" applyAlignment="1">
      <alignment horizontal="center" vertical="center"/>
    </xf>
    <xf numFmtId="171" fontId="0" fillId="2" borderId="0" xfId="1" applyNumberFormat="1" applyFont="1" applyFill="1"/>
    <xf numFmtId="171" fontId="0" fillId="0" borderId="0" xfId="1" applyNumberFormat="1" applyFont="1"/>
    <xf numFmtId="0" fontId="0" fillId="0" borderId="6" xfId="0" applyFill="1" applyBorder="1" applyAlignment="1">
      <alignment horizontal="center" vertical="center" wrapText="1"/>
    </xf>
    <xf numFmtId="170" fontId="0" fillId="0" borderId="6" xfId="0" applyNumberFormat="1" applyBorder="1"/>
    <xf numFmtId="168" fontId="0" fillId="0" borderId="0" xfId="0" applyNumberFormat="1"/>
    <xf numFmtId="166" fontId="0" fillId="2" borderId="0" xfId="0" applyNumberFormat="1" applyFill="1"/>
    <xf numFmtId="0" fontId="0" fillId="2" borderId="6" xfId="0" applyFont="1" applyFill="1" applyBorder="1" applyAlignment="1">
      <alignment horizontal="center" vertical="center"/>
    </xf>
    <xf numFmtId="0" fontId="0" fillId="0" borderId="0" xfId="0" applyFill="1"/>
    <xf numFmtId="165" fontId="0" fillId="0" borderId="0" xfId="1" applyNumberFormat="1" applyFont="1" applyFill="1"/>
    <xf numFmtId="1" fontId="0" fillId="0" borderId="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1" fontId="0" fillId="0" borderId="0" xfId="0" applyNumberFormat="1"/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0" fillId="0" borderId="6" xfId="1" applyNumberFormat="1" applyFont="1" applyBorder="1" applyAlignment="1">
      <alignment vertical="center"/>
    </xf>
    <xf numFmtId="0" fontId="21" fillId="0" borderId="6" xfId="0" applyFont="1" applyBorder="1" applyAlignment="1">
      <alignment horizontal="center" vertical="center" wrapText="1"/>
    </xf>
    <xf numFmtId="165" fontId="0" fillId="0" borderId="6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2" fillId="0" borderId="0" xfId="0" applyFont="1"/>
    <xf numFmtId="0" fontId="5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65" fontId="0" fillId="0" borderId="6" xfId="1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5" fontId="0" fillId="2" borderId="6" xfId="1" applyNumberFormat="1" applyFont="1" applyFill="1" applyBorder="1" applyAlignment="1">
      <alignment vertical="center"/>
    </xf>
    <xf numFmtId="0" fontId="0" fillId="5" borderId="6" xfId="0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left" vertical="center" wrapText="1"/>
    </xf>
    <xf numFmtId="165" fontId="6" fillId="2" borderId="6" xfId="1" applyNumberFormat="1" applyFont="1" applyFill="1" applyBorder="1" applyAlignment="1">
      <alignment horizontal="center" vertical="center"/>
    </xf>
    <xf numFmtId="165" fontId="0" fillId="0" borderId="8" xfId="1" applyNumberFormat="1" applyFont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165" fontId="0" fillId="0" borderId="6" xfId="0" applyNumberFormat="1" applyBorder="1"/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165" fontId="0" fillId="0" borderId="6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6" xfId="0" applyFont="1" applyBorder="1" applyAlignment="1">
      <alignment vertical="center"/>
    </xf>
    <xf numFmtId="165" fontId="6" fillId="0" borderId="6" xfId="0" applyNumberFormat="1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6" xfId="0" applyNumberFormat="1" applyFill="1" applyBorder="1" applyAlignment="1">
      <alignment vertical="center"/>
    </xf>
    <xf numFmtId="165" fontId="6" fillId="0" borderId="6" xfId="0" applyNumberFormat="1" applyFont="1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165" fontId="0" fillId="0" borderId="0" xfId="0" applyNumberFormat="1" applyFill="1"/>
    <xf numFmtId="0" fontId="0" fillId="0" borderId="6" xfId="0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165" fontId="0" fillId="0" borderId="6" xfId="0" applyNumberFormat="1" applyFont="1" applyFill="1" applyBorder="1" applyAlignment="1">
      <alignment horizontal="center" vertical="center"/>
    </xf>
    <xf numFmtId="165" fontId="0" fillId="0" borderId="6" xfId="0" applyNumberFormat="1" applyFill="1" applyBorder="1" applyAlignment="1">
      <alignment horizontal="center" vertical="center"/>
    </xf>
    <xf numFmtId="165" fontId="0" fillId="0" borderId="4" xfId="0" applyNumberFormat="1" applyBorder="1" applyAlignment="1">
      <alignment vertical="center"/>
    </xf>
    <xf numFmtId="0" fontId="0" fillId="0" borderId="6" xfId="0" applyBorder="1" applyAlignment="1">
      <alignment vertical="center" wrapText="1"/>
    </xf>
    <xf numFmtId="165" fontId="23" fillId="0" borderId="0" xfId="0" applyNumberFormat="1" applyFont="1"/>
    <xf numFmtId="165" fontId="6" fillId="0" borderId="6" xfId="1" applyNumberFormat="1" applyFont="1" applyBorder="1" applyAlignment="1">
      <alignment vertical="center"/>
    </xf>
    <xf numFmtId="165" fontId="23" fillId="0" borderId="6" xfId="1" applyNumberFormat="1" applyFont="1" applyBorder="1" applyAlignment="1">
      <alignment vertical="center"/>
    </xf>
    <xf numFmtId="43" fontId="0" fillId="2" borderId="0" xfId="0" applyNumberFormat="1" applyFill="1"/>
    <xf numFmtId="0" fontId="0" fillId="0" borderId="6" xfId="0" applyFont="1" applyBorder="1" applyAlignment="1">
      <alignment horizontal="left" vertical="center"/>
    </xf>
    <xf numFmtId="165" fontId="0" fillId="0" borderId="6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0" borderId="6" xfId="0" applyNumberFormat="1" applyFont="1" applyFill="1" applyBorder="1" applyAlignment="1">
      <alignment horizontal="center" vertical="center" wrapText="1"/>
    </xf>
    <xf numFmtId="165" fontId="0" fillId="0" borderId="6" xfId="1" quotePrefix="1" applyNumberFormat="1" applyFont="1" applyBorder="1" applyAlignment="1">
      <alignment horizontal="left" vertical="center" wrapText="1"/>
    </xf>
    <xf numFmtId="0" fontId="0" fillId="0" borderId="6" xfId="0" quotePrefix="1" applyBorder="1" applyAlignment="1">
      <alignment horizontal="center" vertical="center"/>
    </xf>
    <xf numFmtId="0" fontId="0" fillId="0" borderId="6" xfId="0" quotePrefix="1" applyBorder="1"/>
    <xf numFmtId="165" fontId="14" fillId="0" borderId="0" xfId="1" applyNumberFormat="1" applyFont="1"/>
    <xf numFmtId="165" fontId="2" fillId="2" borderId="0" xfId="0" applyNumberFormat="1" applyFont="1" applyFill="1"/>
    <xf numFmtId="165" fontId="2" fillId="0" borderId="6" xfId="1" applyNumberFormat="1" applyFont="1" applyBorder="1" applyAlignment="1">
      <alignment vertical="center"/>
    </xf>
    <xf numFmtId="165" fontId="6" fillId="0" borderId="6" xfId="1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5" fontId="0" fillId="0" borderId="6" xfId="1" applyNumberFormat="1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165" fontId="0" fillId="0" borderId="6" xfId="1" quotePrefix="1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5" fontId="0" fillId="0" borderId="6" xfId="1" quotePrefix="1" applyNumberFormat="1" applyFont="1" applyBorder="1" applyAlignment="1">
      <alignment horizontal="left" vertical="center" wrapText="1"/>
    </xf>
    <xf numFmtId="165" fontId="0" fillId="0" borderId="6" xfId="1" applyNumberFormat="1" applyFont="1" applyBorder="1" applyAlignment="1">
      <alignment horizontal="left" vertical="center" wrapText="1"/>
    </xf>
    <xf numFmtId="165" fontId="6" fillId="0" borderId="6" xfId="1" quotePrefix="1" applyNumberFormat="1" applyFont="1" applyBorder="1" applyAlignment="1">
      <alignment horizontal="left" vertical="center" wrapText="1"/>
    </xf>
    <xf numFmtId="165" fontId="6" fillId="0" borderId="6" xfId="1" applyNumberFormat="1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left" vertical="center" wrapText="1"/>
    </xf>
    <xf numFmtId="165" fontId="0" fillId="0" borderId="7" xfId="1" applyNumberFormat="1" applyFont="1" applyBorder="1" applyAlignment="1">
      <alignment horizontal="left" vertical="center"/>
    </xf>
    <xf numFmtId="165" fontId="0" fillId="0" borderId="5" xfId="1" applyNumberFormat="1" applyFont="1" applyBorder="1" applyAlignment="1">
      <alignment horizontal="left" vertical="center"/>
    </xf>
    <xf numFmtId="165" fontId="0" fillId="0" borderId="9" xfId="1" quotePrefix="1" applyNumberFormat="1" applyFont="1" applyBorder="1" applyAlignment="1">
      <alignment horizontal="left" vertical="center" wrapText="1"/>
    </xf>
    <xf numFmtId="165" fontId="0" fillId="0" borderId="10" xfId="1" applyNumberFormat="1" applyFont="1" applyBorder="1" applyAlignment="1">
      <alignment horizontal="left" vertical="center" wrapText="1"/>
    </xf>
    <xf numFmtId="165" fontId="0" fillId="0" borderId="11" xfId="1" applyNumberFormat="1" applyFont="1" applyBorder="1" applyAlignment="1">
      <alignment horizontal="left" vertical="center" wrapText="1"/>
    </xf>
    <xf numFmtId="165" fontId="0" fillId="0" borderId="12" xfId="1" applyNumberFormat="1" applyFont="1" applyBorder="1" applyAlignment="1">
      <alignment horizontal="left" vertical="center" wrapText="1"/>
    </xf>
    <xf numFmtId="165" fontId="0" fillId="0" borderId="0" xfId="1" applyNumberFormat="1" applyFont="1" applyBorder="1" applyAlignment="1">
      <alignment horizontal="left" vertical="center" wrapText="1"/>
    </xf>
    <xf numFmtId="165" fontId="0" fillId="0" borderId="13" xfId="1" applyNumberFormat="1" applyFont="1" applyBorder="1" applyAlignment="1">
      <alignment horizontal="left" vertical="center" wrapText="1"/>
    </xf>
    <xf numFmtId="165" fontId="0" fillId="0" borderId="14" xfId="1" applyNumberFormat="1" applyFont="1" applyBorder="1" applyAlignment="1">
      <alignment horizontal="left" vertical="center" wrapText="1"/>
    </xf>
    <xf numFmtId="165" fontId="0" fillId="0" borderId="15" xfId="1" applyNumberFormat="1" applyFont="1" applyBorder="1" applyAlignment="1">
      <alignment horizontal="left" vertical="center" wrapText="1"/>
    </xf>
    <xf numFmtId="165" fontId="0" fillId="0" borderId="16" xfId="1" applyNumberFormat="1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165" fontId="8" fillId="0" borderId="2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5" fontId="8" fillId="2" borderId="0" xfId="0" applyNumberFormat="1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5" fontId="0" fillId="0" borderId="2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165" fontId="0" fillId="6" borderId="6" xfId="1" applyNumberFormat="1" applyFont="1" applyFill="1" applyBorder="1" applyAlignment="1">
      <alignment vertical="center"/>
    </xf>
    <xf numFmtId="165" fontId="4" fillId="6" borderId="6" xfId="1" applyNumberFormat="1" applyFont="1" applyFill="1" applyBorder="1"/>
  </cellXfs>
  <cellStyles count="10">
    <cellStyle name="Comma" xfId="1" builtinId="3"/>
    <cellStyle name="Comma 2" xfId="8"/>
    <cellStyle name="Comma 5" xfId="9"/>
    <cellStyle name="Comma 6" xfId="5"/>
    <cellStyle name="Currency" xfId="2" builtinId="4"/>
    <cellStyle name="Normal" xfId="0" builtinId="0"/>
    <cellStyle name="Normal 2" xfId="6"/>
    <cellStyle name="Normal 3" xfId="7"/>
    <cellStyle name="Normal 4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250</xdr:row>
      <xdr:rowOff>0</xdr:rowOff>
    </xdr:from>
    <xdr:to>
      <xdr:col>7</xdr:col>
      <xdr:colOff>4723</xdr:colOff>
      <xdr:row>277</xdr:row>
      <xdr:rowOff>105678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7627" y="60972057"/>
          <a:ext cx="7552381" cy="5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4:S221"/>
  <sheetViews>
    <sheetView showGridLines="0" topLeftCell="A145" workbookViewId="0">
      <selection activeCell="B159" sqref="B159"/>
    </sheetView>
  </sheetViews>
  <sheetFormatPr defaultColWidth="9" defaultRowHeight="15"/>
  <cols>
    <col min="2" max="2" width="12.42578125" customWidth="1"/>
    <col min="3" max="3" width="17.140625" style="160" customWidth="1"/>
    <col min="4" max="4" width="17.5703125" customWidth="1"/>
    <col min="5" max="10" width="16.28515625" customWidth="1"/>
    <col min="11" max="11" width="18.28515625" customWidth="1"/>
    <col min="12" max="12" width="14.140625" customWidth="1"/>
    <col min="13" max="19" width="16.28515625" customWidth="1"/>
  </cols>
  <sheetData>
    <row r="4" spans="2:19" ht="46.5">
      <c r="B4" s="206" t="s">
        <v>0</v>
      </c>
    </row>
    <row r="5" spans="2:19" hidden="1"/>
    <row r="6" spans="2:19" hidden="1">
      <c r="C6" s="177" t="s">
        <v>1</v>
      </c>
    </row>
    <row r="7" spans="2:19" ht="30" hidden="1">
      <c r="C7" s="207" t="s">
        <v>2</v>
      </c>
      <c r="D7" s="208" t="s">
        <v>3</v>
      </c>
      <c r="E7" s="209" t="s">
        <v>4</v>
      </c>
      <c r="F7" s="208" t="s">
        <v>5</v>
      </c>
      <c r="G7" s="208" t="s">
        <v>6</v>
      </c>
      <c r="H7" s="208" t="s">
        <v>7</v>
      </c>
      <c r="I7" s="208" t="s">
        <v>8</v>
      </c>
      <c r="J7" s="208" t="s">
        <v>9</v>
      </c>
    </row>
    <row r="8" spans="2:19" ht="105" hidden="1">
      <c r="C8" s="176" t="s">
        <v>10</v>
      </c>
      <c r="D8" s="204">
        <f>+Lexus!E16</f>
        <v>85121795</v>
      </c>
      <c r="E8" s="210">
        <f>+Lexus!N17</f>
        <v>148071400</v>
      </c>
      <c r="F8" s="211"/>
      <c r="G8" s="204">
        <f>+Lexus!N46</f>
        <v>89576433</v>
      </c>
      <c r="H8" s="204">
        <f>+Lexus!N61</f>
        <v>132247427</v>
      </c>
      <c r="I8" s="250" t="s">
        <v>11</v>
      </c>
      <c r="J8" s="210">
        <f>+E8-D8</f>
        <v>62949605</v>
      </c>
    </row>
    <row r="9" spans="2:19" hidden="1"/>
    <row r="10" spans="2:19" ht="30" hidden="1">
      <c r="C10" s="207" t="s">
        <v>12</v>
      </c>
      <c r="D10" s="208" t="s">
        <v>3</v>
      </c>
      <c r="E10" s="208" t="s">
        <v>4</v>
      </c>
      <c r="F10" s="208" t="s">
        <v>5</v>
      </c>
      <c r="G10" s="209" t="s">
        <v>6</v>
      </c>
      <c r="H10" s="208" t="s">
        <v>7</v>
      </c>
      <c r="I10" s="208" t="s">
        <v>8</v>
      </c>
      <c r="J10" s="208" t="s">
        <v>9</v>
      </c>
      <c r="L10" s="207" t="s">
        <v>13</v>
      </c>
      <c r="M10" s="208" t="s">
        <v>3</v>
      </c>
      <c r="N10" s="208" t="s">
        <v>4</v>
      </c>
      <c r="O10" s="208" t="s">
        <v>5</v>
      </c>
      <c r="P10" s="208" t="s">
        <v>6</v>
      </c>
      <c r="Q10" s="208" t="s">
        <v>7</v>
      </c>
      <c r="R10" s="208" t="s">
        <v>8</v>
      </c>
      <c r="S10" s="208" t="s">
        <v>9</v>
      </c>
    </row>
    <row r="11" spans="2:19" ht="60" hidden="1">
      <c r="C11" s="176" t="s">
        <v>10</v>
      </c>
      <c r="D11" s="204">
        <f>+'Camry 2.5G'!E16</f>
        <v>42471157</v>
      </c>
      <c r="E11" s="204">
        <f>+'Camry 2.5G'!E31</f>
        <v>40682600</v>
      </c>
      <c r="F11" s="204">
        <f>+'Camry 2.5G'!E46</f>
        <v>35824500</v>
      </c>
      <c r="G11" s="204">
        <f>+'Camry 2.5G'!E60</f>
        <v>33197822</v>
      </c>
      <c r="H11" s="211"/>
      <c r="I11" s="216" t="s">
        <v>14</v>
      </c>
      <c r="J11" s="204"/>
      <c r="L11" s="176" t="s">
        <v>10</v>
      </c>
      <c r="M11" s="211"/>
      <c r="N11" s="204">
        <f>+'Camry 2.0G'!E29</f>
        <v>44264590</v>
      </c>
      <c r="O11" s="211"/>
      <c r="P11" s="211"/>
      <c r="Q11" s="204">
        <f>+'Camry 2.0G'!E45</f>
        <v>42968280</v>
      </c>
      <c r="R11" s="204"/>
      <c r="S11" s="204"/>
    </row>
    <row r="12" spans="2:19" ht="75" hidden="1">
      <c r="C12" s="176" t="s">
        <v>15</v>
      </c>
      <c r="D12" s="204">
        <f>+'Camry 2.5G'!H16</f>
        <v>45837757</v>
      </c>
      <c r="E12" s="204">
        <f>+'Camry 2.5G'!H31</f>
        <v>45223800</v>
      </c>
      <c r="F12" s="204">
        <f>+'Camry 2.5G'!H46</f>
        <v>41529000</v>
      </c>
      <c r="G12" s="204">
        <f>+'Camry 2.5G'!H60</f>
        <v>38273422</v>
      </c>
      <c r="H12" s="211"/>
      <c r="I12" s="216" t="s">
        <v>16</v>
      </c>
      <c r="J12" s="204"/>
      <c r="L12" s="176" t="s">
        <v>15</v>
      </c>
      <c r="M12" s="211"/>
      <c r="N12" s="204">
        <f>+'Camry 2.0G'!H29</f>
        <v>48585800</v>
      </c>
      <c r="O12" s="211"/>
      <c r="P12" s="211"/>
      <c r="Q12" s="204">
        <f>+'Camry 2.0G'!H45</f>
        <v>48078804</v>
      </c>
      <c r="R12" s="204"/>
      <c r="S12" s="204"/>
    </row>
    <row r="13" spans="2:19" ht="45" hidden="1">
      <c r="C13" s="176" t="s">
        <v>17</v>
      </c>
      <c r="D13" s="204">
        <f>+'Camry 2.5G'!K16</f>
        <v>44133157</v>
      </c>
      <c r="E13" s="204">
        <f>+'Camry 2.5G'!K31</f>
        <v>42965200</v>
      </c>
      <c r="F13" s="204">
        <f>+'Camry 2.5G'!K46</f>
        <v>39112875</v>
      </c>
      <c r="G13" s="204">
        <f>+'Camry 2.5G'!K60</f>
        <v>35764522</v>
      </c>
      <c r="H13" s="211"/>
      <c r="I13" s="216" t="s">
        <v>18</v>
      </c>
      <c r="J13" s="204"/>
      <c r="L13" s="176" t="s">
        <v>17</v>
      </c>
      <c r="M13" s="211"/>
      <c r="N13" s="204">
        <f>+'Camry 2.0G'!K29</f>
        <v>45782200</v>
      </c>
      <c r="O13" s="211"/>
      <c r="P13" s="211"/>
      <c r="Q13" s="204">
        <f>+'Camry 2.0G'!K45</f>
        <v>46398804</v>
      </c>
      <c r="R13" s="204"/>
      <c r="S13" s="204"/>
    </row>
    <row r="14" spans="2:19" hidden="1">
      <c r="C14" s="176" t="s">
        <v>19</v>
      </c>
      <c r="D14" s="210">
        <f t="shared" ref="D14:H14" si="0">SUM(D11:D13)</f>
        <v>132442071</v>
      </c>
      <c r="E14" s="204">
        <f t="shared" si="0"/>
        <v>128871600</v>
      </c>
      <c r="F14" s="204">
        <f t="shared" si="0"/>
        <v>116466375</v>
      </c>
      <c r="G14" s="210">
        <f t="shared" si="0"/>
        <v>107235766</v>
      </c>
      <c r="H14" s="211">
        <f t="shared" si="0"/>
        <v>0</v>
      </c>
      <c r="I14" s="204">
        <f>+E14-D14</f>
        <v>-3570471</v>
      </c>
      <c r="J14" s="204">
        <f>+G14-D14</f>
        <v>-25206305</v>
      </c>
      <c r="L14" s="176" t="s">
        <v>19</v>
      </c>
      <c r="M14" s="211">
        <f t="shared" ref="M14:S14" si="1">SUM(M11:M13)</f>
        <v>0</v>
      </c>
      <c r="N14" s="204">
        <f t="shared" si="1"/>
        <v>138632590</v>
      </c>
      <c r="O14" s="211">
        <f t="shared" si="1"/>
        <v>0</v>
      </c>
      <c r="P14" s="211">
        <f t="shared" si="1"/>
        <v>0</v>
      </c>
      <c r="Q14" s="204">
        <f t="shared" si="1"/>
        <v>137445888</v>
      </c>
      <c r="R14" s="204">
        <f t="shared" si="1"/>
        <v>0</v>
      </c>
      <c r="S14" s="204">
        <f t="shared" si="1"/>
        <v>0</v>
      </c>
    </row>
    <row r="15" spans="2:19" hidden="1">
      <c r="C15" s="176" t="s">
        <v>20</v>
      </c>
      <c r="D15" s="210">
        <f t="shared" ref="D15:G15" si="2">AVERAGE(D11:D13)</f>
        <v>44147357</v>
      </c>
      <c r="E15" s="204">
        <f t="shared" si="2"/>
        <v>42957200</v>
      </c>
      <c r="F15" s="204">
        <f t="shared" si="2"/>
        <v>38822125</v>
      </c>
      <c r="G15" s="210">
        <f t="shared" si="2"/>
        <v>35745255.333333336</v>
      </c>
      <c r="H15" s="204"/>
      <c r="I15" s="204"/>
      <c r="J15" s="210">
        <f>+G15-D15</f>
        <v>-8402101.6666666642</v>
      </c>
      <c r="L15" s="176" t="s">
        <v>20</v>
      </c>
      <c r="M15" s="204"/>
      <c r="N15" s="210">
        <f>AVERAGE(N11:N13)</f>
        <v>46210863.333333336</v>
      </c>
      <c r="O15" s="204"/>
      <c r="P15" s="204"/>
      <c r="Q15" s="204">
        <f>AVERAGE(Q11:Q13)</f>
        <v>45815296</v>
      </c>
      <c r="R15" s="204"/>
      <c r="S15" s="204"/>
    </row>
    <row r="16" spans="2:19" hidden="1"/>
    <row r="17" spans="3:19" ht="30" hidden="1">
      <c r="C17" s="207" t="s">
        <v>21</v>
      </c>
      <c r="D17" s="208" t="s">
        <v>3</v>
      </c>
      <c r="E17" s="208" t="s">
        <v>4</v>
      </c>
      <c r="F17" s="208" t="s">
        <v>5</v>
      </c>
      <c r="G17" s="208" t="s">
        <v>6</v>
      </c>
      <c r="H17" s="208" t="s">
        <v>7</v>
      </c>
      <c r="I17" s="208" t="s">
        <v>8</v>
      </c>
      <c r="J17" s="208" t="s">
        <v>9</v>
      </c>
      <c r="L17" s="207" t="s">
        <v>22</v>
      </c>
      <c r="M17" s="208" t="s">
        <v>3</v>
      </c>
      <c r="N17" s="208" t="s">
        <v>4</v>
      </c>
      <c r="O17" s="208" t="s">
        <v>5</v>
      </c>
      <c r="P17" s="208" t="s">
        <v>6</v>
      </c>
      <c r="Q17" s="208" t="s">
        <v>7</v>
      </c>
      <c r="R17" s="208" t="s">
        <v>8</v>
      </c>
      <c r="S17" s="208" t="s">
        <v>9</v>
      </c>
    </row>
    <row r="18" spans="3:19" ht="75" hidden="1">
      <c r="C18" s="176" t="s">
        <v>10</v>
      </c>
      <c r="D18" s="204">
        <f>+'11 seats'!E14</f>
        <v>43773446.350000001</v>
      </c>
      <c r="E18" s="204">
        <f>+'11 seats'!E28</f>
        <v>47936750</v>
      </c>
      <c r="F18" s="211"/>
      <c r="G18" s="211"/>
      <c r="H18" s="211"/>
      <c r="I18" s="250" t="s">
        <v>23</v>
      </c>
      <c r="J18" s="204"/>
      <c r="L18" s="176" t="s">
        <v>10</v>
      </c>
      <c r="M18" s="204">
        <f>+Fortuner!E16</f>
        <v>341866500</v>
      </c>
      <c r="N18" s="204">
        <f>+Fortuner!E32</f>
        <v>44789186</v>
      </c>
      <c r="O18" s="204">
        <f>+Fortuner!E62</f>
        <v>443636640</v>
      </c>
      <c r="P18" s="204">
        <f>+Fortuner!E78</f>
        <v>355758470</v>
      </c>
      <c r="Q18" s="204">
        <f>+Fortuner!E99</f>
        <v>417780808</v>
      </c>
      <c r="R18" s="216" t="s">
        <v>24</v>
      </c>
      <c r="S18" s="204">
        <f t="shared" ref="S18:S22" si="3">+P18-M18</f>
        <v>13891970</v>
      </c>
    </row>
    <row r="19" spans="3:19" ht="120" hidden="1">
      <c r="C19" s="176" t="s">
        <v>15</v>
      </c>
      <c r="D19" s="204">
        <f>+'11 seats'!H14</f>
        <v>50188321</v>
      </c>
      <c r="E19" s="204">
        <f>+'11 seats'!H28</f>
        <v>55638252.380952403</v>
      </c>
      <c r="F19" s="211"/>
      <c r="G19" s="211"/>
      <c r="H19" s="211"/>
      <c r="I19" s="250" t="s">
        <v>25</v>
      </c>
      <c r="J19" s="204"/>
      <c r="L19" s="176" t="s">
        <v>15</v>
      </c>
      <c r="M19" s="204">
        <f>+Fortuner!H16</f>
        <v>223594000</v>
      </c>
      <c r="N19" s="204">
        <f>+Fortuner!H32</f>
        <v>35320438</v>
      </c>
      <c r="O19" s="204">
        <f>+Fortuner!H62</f>
        <v>315140820</v>
      </c>
      <c r="P19" s="204">
        <f>+Fortuner!H78</f>
        <v>253058290</v>
      </c>
      <c r="Q19" s="204">
        <f>+Fortuner!H99</f>
        <v>280546029</v>
      </c>
      <c r="R19" s="216" t="s">
        <v>26</v>
      </c>
      <c r="S19" s="204">
        <f t="shared" si="3"/>
        <v>29464290</v>
      </c>
    </row>
    <row r="20" spans="3:19" ht="90" hidden="1">
      <c r="C20" s="176" t="s">
        <v>17</v>
      </c>
      <c r="D20" s="204">
        <f>+'11 seats'!K14</f>
        <v>47491277.75</v>
      </c>
      <c r="E20" s="204">
        <f>+'11 seats'!K28</f>
        <v>53819475</v>
      </c>
      <c r="F20" s="211"/>
      <c r="G20" s="211"/>
      <c r="H20" s="211"/>
      <c r="I20" s="250" t="s">
        <v>27</v>
      </c>
      <c r="J20" s="204"/>
      <c r="L20" s="176" t="s">
        <v>17</v>
      </c>
      <c r="M20" s="204">
        <f>+Fortuner!K16</f>
        <v>221055500</v>
      </c>
      <c r="N20" s="204">
        <f>+Fortuner!K32</f>
        <v>38479080</v>
      </c>
      <c r="O20" s="204">
        <f>+Fortuner!K62</f>
        <v>312507486.66666669</v>
      </c>
      <c r="P20" s="204">
        <f>+Fortuner!K78</f>
        <v>250741623.33333334</v>
      </c>
      <c r="Q20" s="204">
        <f>+Fortuner!K99</f>
        <v>279004362.33333331</v>
      </c>
      <c r="R20" s="216" t="s">
        <v>28</v>
      </c>
      <c r="S20" s="204">
        <f t="shared" si="3"/>
        <v>29686123.333333343</v>
      </c>
    </row>
    <row r="21" spans="3:19" ht="33" hidden="1" customHeight="1">
      <c r="C21" s="176" t="s">
        <v>19</v>
      </c>
      <c r="D21" s="204">
        <f t="shared" ref="D21:I21" si="4">SUM(D18:D20)</f>
        <v>141453045.09999999</v>
      </c>
      <c r="E21" s="204">
        <f t="shared" si="4"/>
        <v>157394477.38095242</v>
      </c>
      <c r="F21" s="211">
        <f t="shared" si="4"/>
        <v>0</v>
      </c>
      <c r="G21" s="211">
        <f t="shared" si="4"/>
        <v>0</v>
      </c>
      <c r="H21" s="211">
        <f t="shared" si="4"/>
        <v>0</v>
      </c>
      <c r="I21" s="204">
        <f t="shared" si="4"/>
        <v>0</v>
      </c>
      <c r="J21" s="204">
        <f>+E21-D21</f>
        <v>15941432.280952424</v>
      </c>
      <c r="L21" s="176" t="s">
        <v>19</v>
      </c>
      <c r="M21" s="204">
        <f t="shared" ref="M21:R21" si="5">SUM(M18:M20)</f>
        <v>786516000</v>
      </c>
      <c r="N21" s="204">
        <f t="shared" si="5"/>
        <v>118588704</v>
      </c>
      <c r="O21" s="204">
        <f t="shared" si="5"/>
        <v>1071284946.6666667</v>
      </c>
      <c r="P21" s="204">
        <f t="shared" si="5"/>
        <v>859558383.33333337</v>
      </c>
      <c r="Q21" s="204">
        <f t="shared" si="5"/>
        <v>977331199.33333325</v>
      </c>
      <c r="R21" s="204">
        <f t="shared" si="5"/>
        <v>0</v>
      </c>
      <c r="S21" s="204">
        <f t="shared" si="3"/>
        <v>73042383.333333373</v>
      </c>
    </row>
    <row r="22" spans="3:19" ht="33" hidden="1" customHeight="1">
      <c r="C22" s="176" t="s">
        <v>20</v>
      </c>
      <c r="D22" s="210">
        <f>AVERAGE(D18:D20)</f>
        <v>47151015.033333331</v>
      </c>
      <c r="E22" s="210">
        <f>AVERAGE(E18:E20)</f>
        <v>52464825.793650806</v>
      </c>
      <c r="F22" s="212"/>
      <c r="G22" s="212"/>
      <c r="H22" s="204"/>
      <c r="I22" s="204"/>
      <c r="J22" s="210">
        <f>+E22-D22</f>
        <v>5313810.7603174746</v>
      </c>
      <c r="L22" s="176" t="s">
        <v>20</v>
      </c>
      <c r="M22" s="210">
        <f t="shared" ref="M22:Q22" si="6">AVERAGE(M18:M20)</f>
        <v>262172000</v>
      </c>
      <c r="N22" s="204">
        <f t="shared" si="6"/>
        <v>39529568</v>
      </c>
      <c r="O22" s="204">
        <f t="shared" si="6"/>
        <v>357094982.22222227</v>
      </c>
      <c r="P22" s="210">
        <f t="shared" si="6"/>
        <v>286519461.1111111</v>
      </c>
      <c r="Q22" s="204">
        <f t="shared" si="6"/>
        <v>325777066.44444442</v>
      </c>
      <c r="R22" s="204"/>
      <c r="S22" s="210">
        <f t="shared" si="3"/>
        <v>24347461.111111104</v>
      </c>
    </row>
    <row r="23" spans="3:19" hidden="1"/>
    <row r="24" spans="3:19" ht="30" hidden="1">
      <c r="C24" s="207" t="s">
        <v>29</v>
      </c>
      <c r="D24" s="208" t="s">
        <v>3</v>
      </c>
      <c r="E24" s="208" t="s">
        <v>4</v>
      </c>
      <c r="F24" s="208" t="s">
        <v>5</v>
      </c>
      <c r="G24" s="208" t="s">
        <v>6</v>
      </c>
      <c r="H24" s="208" t="s">
        <v>7</v>
      </c>
      <c r="I24" s="208" t="s">
        <v>8</v>
      </c>
      <c r="J24" s="208" t="s">
        <v>9</v>
      </c>
      <c r="L24" s="207" t="s">
        <v>30</v>
      </c>
      <c r="M24" s="208" t="s">
        <v>3</v>
      </c>
      <c r="N24" s="208" t="s">
        <v>4</v>
      </c>
      <c r="O24" s="208" t="s">
        <v>5</v>
      </c>
      <c r="P24" s="208" t="s">
        <v>6</v>
      </c>
      <c r="Q24" s="208" t="s">
        <v>7</v>
      </c>
      <c r="R24" s="208" t="s">
        <v>8</v>
      </c>
      <c r="S24" s="208" t="s">
        <v>9</v>
      </c>
    </row>
    <row r="25" spans="3:19" ht="75" hidden="1">
      <c r="C25" s="176" t="s">
        <v>10</v>
      </c>
      <c r="D25" s="204">
        <v>45143446.350000001</v>
      </c>
      <c r="E25" s="204">
        <f>+'11 seats'!E43</f>
        <v>46298750</v>
      </c>
      <c r="F25" s="211"/>
      <c r="G25" s="211"/>
      <c r="H25" s="211"/>
      <c r="I25" s="250" t="s">
        <v>23</v>
      </c>
      <c r="J25" s="204"/>
      <c r="L25" s="176" t="s">
        <v>10</v>
      </c>
      <c r="M25" s="211"/>
      <c r="N25" s="204">
        <f>+Xpander!E30</f>
        <v>416561500</v>
      </c>
      <c r="O25" s="211"/>
      <c r="P25" s="204">
        <f>+Xpander!E59</f>
        <v>322478034</v>
      </c>
      <c r="Q25" s="211"/>
      <c r="R25" s="216" t="s">
        <v>24</v>
      </c>
      <c r="S25" s="204"/>
    </row>
    <row r="26" spans="3:19" ht="120" hidden="1">
      <c r="C26" s="176" t="s">
        <v>15</v>
      </c>
      <c r="D26" s="204">
        <v>51558321</v>
      </c>
      <c r="E26" s="204">
        <f>+'11 seats'!H43</f>
        <v>53298252.380952403</v>
      </c>
      <c r="F26" s="211"/>
      <c r="G26" s="211"/>
      <c r="H26" s="211"/>
      <c r="I26" s="250" t="s">
        <v>25</v>
      </c>
      <c r="J26" s="204"/>
      <c r="L26" s="176" t="s">
        <v>15</v>
      </c>
      <c r="M26" s="211"/>
      <c r="N26" s="204">
        <f>+Xpander!H30</f>
        <v>289918200</v>
      </c>
      <c r="O26" s="211"/>
      <c r="P26" s="204">
        <f>+Xpander!H59</f>
        <v>235491398</v>
      </c>
      <c r="Q26" s="211"/>
      <c r="R26" s="216" t="s">
        <v>26</v>
      </c>
      <c r="S26" s="204"/>
    </row>
    <row r="27" spans="3:19" ht="90" hidden="1">
      <c r="C27" s="176" t="s">
        <v>17</v>
      </c>
      <c r="D27" s="204">
        <v>48861277.75</v>
      </c>
      <c r="E27" s="204">
        <f>+'11 seats'!K43</f>
        <v>51260100</v>
      </c>
      <c r="F27" s="211"/>
      <c r="G27" s="211"/>
      <c r="H27" s="211"/>
      <c r="I27" s="250" t="s">
        <v>27</v>
      </c>
      <c r="J27" s="204"/>
      <c r="L27" s="176" t="s">
        <v>17</v>
      </c>
      <c r="M27" s="211"/>
      <c r="N27" s="204">
        <f>+Xpander!K30</f>
        <v>286769366.66666663</v>
      </c>
      <c r="O27" s="211"/>
      <c r="P27" s="204">
        <f>+Xpander!K59</f>
        <v>233541397.99999997</v>
      </c>
      <c r="Q27" s="211"/>
      <c r="R27" s="216" t="s">
        <v>28</v>
      </c>
      <c r="S27" s="204"/>
    </row>
    <row r="28" spans="3:19" ht="30" hidden="1" customHeight="1">
      <c r="C28" s="176" t="s">
        <v>19</v>
      </c>
      <c r="D28" s="204">
        <f t="shared" ref="D28:J28" si="7">SUM(D25:D27)</f>
        <v>145563045.09999999</v>
      </c>
      <c r="E28" s="204">
        <f t="shared" si="7"/>
        <v>150857102.38095242</v>
      </c>
      <c r="F28" s="211">
        <f t="shared" si="7"/>
        <v>0</v>
      </c>
      <c r="G28" s="211">
        <f t="shared" si="7"/>
        <v>0</v>
      </c>
      <c r="H28" s="211">
        <f t="shared" si="7"/>
        <v>0</v>
      </c>
      <c r="I28" s="204">
        <f t="shared" si="7"/>
        <v>0</v>
      </c>
      <c r="J28" s="204">
        <f t="shared" si="7"/>
        <v>0</v>
      </c>
      <c r="L28" s="176" t="s">
        <v>19</v>
      </c>
      <c r="M28" s="211">
        <f t="shared" ref="M28:S28" si="8">SUM(M25:M27)</f>
        <v>0</v>
      </c>
      <c r="N28" s="204">
        <f t="shared" si="8"/>
        <v>993249066.66666663</v>
      </c>
      <c r="O28" s="211">
        <f t="shared" si="8"/>
        <v>0</v>
      </c>
      <c r="P28" s="204">
        <f t="shared" si="8"/>
        <v>791510830</v>
      </c>
      <c r="Q28" s="211">
        <f t="shared" si="8"/>
        <v>0</v>
      </c>
      <c r="R28" s="204">
        <f t="shared" si="8"/>
        <v>0</v>
      </c>
      <c r="S28" s="204">
        <f t="shared" si="8"/>
        <v>0</v>
      </c>
    </row>
    <row r="29" spans="3:19" ht="30" hidden="1" customHeight="1">
      <c r="C29" s="176" t="s">
        <v>20</v>
      </c>
      <c r="D29" s="210">
        <f>AVERAGE(D25:D27)</f>
        <v>48521015.033333331</v>
      </c>
      <c r="E29" s="210">
        <f>AVERAGE(E25:E27)</f>
        <v>50285700.793650806</v>
      </c>
      <c r="F29" s="212"/>
      <c r="G29" s="212"/>
      <c r="H29" s="204"/>
      <c r="I29" s="204"/>
      <c r="J29" s="210">
        <f>+E29-D29</f>
        <v>1764685.7603174746</v>
      </c>
      <c r="L29" s="176" t="s">
        <v>20</v>
      </c>
      <c r="M29" s="204"/>
      <c r="N29" s="204">
        <f>AVERAGE(N25:N27)</f>
        <v>331083022.22222221</v>
      </c>
      <c r="O29" s="204"/>
      <c r="P29" s="210">
        <f>AVERAGE(P25:P27)</f>
        <v>263836943.33333334</v>
      </c>
      <c r="Q29" s="204"/>
      <c r="R29" s="204"/>
      <c r="S29" s="204">
        <f>+P29-M29</f>
        <v>263836943.33333334</v>
      </c>
    </row>
    <row r="30" spans="3:19" hidden="1"/>
    <row r="31" spans="3:19" ht="34.5" hidden="1" customHeight="1">
      <c r="C31" s="207" t="s">
        <v>31</v>
      </c>
      <c r="D31" s="208" t="s">
        <v>32</v>
      </c>
      <c r="E31" s="208" t="s">
        <v>4</v>
      </c>
      <c r="F31" s="208" t="s">
        <v>5</v>
      </c>
      <c r="G31" s="208" t="s">
        <v>6</v>
      </c>
      <c r="H31" s="208" t="s">
        <v>7</v>
      </c>
      <c r="I31" s="208" t="s">
        <v>8</v>
      </c>
      <c r="J31" s="208" t="s">
        <v>9</v>
      </c>
      <c r="L31" s="207" t="s">
        <v>33</v>
      </c>
      <c r="M31" s="208" t="s">
        <v>3</v>
      </c>
      <c r="N31" s="208" t="s">
        <v>4</v>
      </c>
      <c r="O31" s="208" t="s">
        <v>5</v>
      </c>
      <c r="P31" s="208" t="s">
        <v>6</v>
      </c>
      <c r="Q31" s="208" t="s">
        <v>7</v>
      </c>
      <c r="R31" s="208" t="s">
        <v>8</v>
      </c>
      <c r="S31" s="208" t="s">
        <v>9</v>
      </c>
    </row>
    <row r="32" spans="3:19" ht="34.5" hidden="1" customHeight="1">
      <c r="C32" s="176" t="s">
        <v>10</v>
      </c>
      <c r="D32" s="211"/>
      <c r="E32" s="204">
        <f>+'11 seats'!E57</f>
        <v>47837144.444444411</v>
      </c>
      <c r="F32" s="211"/>
      <c r="G32" s="211"/>
      <c r="H32" s="211"/>
      <c r="I32" s="285" t="s">
        <v>34</v>
      </c>
      <c r="J32" s="204"/>
      <c r="L32" s="176" t="s">
        <v>10</v>
      </c>
      <c r="M32" s="211"/>
      <c r="N32" s="204">
        <f>+Fortuner.!E28</f>
        <v>525940500</v>
      </c>
      <c r="O32" s="204">
        <f>+Fortuner.!E43</f>
        <v>443636640</v>
      </c>
      <c r="P32" s="204">
        <f>+Fortuner.!E57</f>
        <v>354549062.30769235</v>
      </c>
      <c r="Q32" s="204">
        <f>+Fortuner.!E72</f>
        <v>413069211</v>
      </c>
      <c r="R32" s="204"/>
      <c r="S32" s="204"/>
    </row>
    <row r="33" spans="2:19" ht="34.5" hidden="1" customHeight="1">
      <c r="C33" s="176" t="s">
        <v>15</v>
      </c>
      <c r="D33" s="211"/>
      <c r="E33" s="204">
        <f>+'11 seats'!H57</f>
        <v>52679761.538461581</v>
      </c>
      <c r="F33" s="211"/>
      <c r="G33" s="211"/>
      <c r="H33" s="211"/>
      <c r="I33" s="286"/>
      <c r="J33" s="204"/>
      <c r="L33" s="176" t="s">
        <v>15</v>
      </c>
      <c r="M33" s="211"/>
      <c r="N33" s="204">
        <f>+Fortuner.!H28</f>
        <v>52473500</v>
      </c>
      <c r="O33" s="204">
        <f>+Fortuner.!H43</f>
        <v>47142080</v>
      </c>
      <c r="P33" s="204">
        <f>+Fortuner.!H57</f>
        <v>37370924.545454502</v>
      </c>
      <c r="Q33" s="204">
        <f>+Fortuner.!H72</f>
        <v>41509129.5</v>
      </c>
      <c r="R33" s="204"/>
      <c r="S33" s="204"/>
    </row>
    <row r="34" spans="2:19" ht="34.5" hidden="1" customHeight="1">
      <c r="C34" s="176" t="s">
        <v>17</v>
      </c>
      <c r="D34" s="211"/>
      <c r="E34" s="204">
        <f>+'11 seats'!K57</f>
        <v>50569600</v>
      </c>
      <c r="F34" s="211"/>
      <c r="G34" s="211"/>
      <c r="H34" s="211"/>
      <c r="I34" s="287"/>
      <c r="J34" s="204"/>
      <c r="L34" s="176" t="s">
        <v>17</v>
      </c>
      <c r="M34" s="211"/>
      <c r="N34" s="204">
        <f>+Fortuner.!K28</f>
        <v>51028000</v>
      </c>
      <c r="O34" s="204">
        <f>+Fortuner.!K43</f>
        <v>44867260</v>
      </c>
      <c r="P34" s="204">
        <f>+Fortuner.!K57</f>
        <v>36015470</v>
      </c>
      <c r="Q34" s="204">
        <f>+Fortuner.!K72</f>
        <v>39358463</v>
      </c>
      <c r="R34" s="204"/>
      <c r="S34" s="204"/>
    </row>
    <row r="35" spans="2:19" ht="34.5" hidden="1" customHeight="1">
      <c r="C35" s="176" t="s">
        <v>19</v>
      </c>
      <c r="D35" s="211">
        <f t="shared" ref="D35:J35" si="9">SUM(D32:D34)</f>
        <v>0</v>
      </c>
      <c r="E35" s="204">
        <f t="shared" si="9"/>
        <v>151086505.98290598</v>
      </c>
      <c r="F35" s="211">
        <f t="shared" si="9"/>
        <v>0</v>
      </c>
      <c r="G35" s="211">
        <f t="shared" si="9"/>
        <v>0</v>
      </c>
      <c r="H35" s="211">
        <f t="shared" si="9"/>
        <v>0</v>
      </c>
      <c r="I35" s="204">
        <f t="shared" si="9"/>
        <v>0</v>
      </c>
      <c r="J35" s="204">
        <f t="shared" si="9"/>
        <v>0</v>
      </c>
      <c r="L35" s="176" t="s">
        <v>19</v>
      </c>
      <c r="M35" s="211">
        <f t="shared" ref="M35:R35" si="10">SUM(M32:M34)</f>
        <v>0</v>
      </c>
      <c r="N35" s="204">
        <f t="shared" si="10"/>
        <v>629442000</v>
      </c>
      <c r="O35" s="204">
        <f t="shared" si="10"/>
        <v>535645980</v>
      </c>
      <c r="P35" s="204">
        <f t="shared" si="10"/>
        <v>427935456.85314685</v>
      </c>
      <c r="Q35" s="204">
        <f t="shared" si="10"/>
        <v>493936803.5</v>
      </c>
      <c r="R35" s="204">
        <f t="shared" si="10"/>
        <v>0</v>
      </c>
      <c r="S35" s="204"/>
    </row>
    <row r="36" spans="2:19" ht="34.5" hidden="1" customHeight="1">
      <c r="C36" s="176" t="s">
        <v>20</v>
      </c>
      <c r="D36" s="204"/>
      <c r="E36" s="210">
        <f>AVERAGE(E32:E34)</f>
        <v>50362168.660968661</v>
      </c>
      <c r="F36" s="204"/>
      <c r="G36" s="204"/>
      <c r="H36" s="204"/>
      <c r="I36" s="204"/>
      <c r="J36" s="204"/>
      <c r="L36" s="176" t="s">
        <v>20</v>
      </c>
      <c r="M36" s="204"/>
      <c r="N36" s="204">
        <f t="shared" ref="N36:Q36" si="11">AVERAGE(N32:N34)</f>
        <v>209814000</v>
      </c>
      <c r="O36" s="204">
        <f t="shared" si="11"/>
        <v>178548660</v>
      </c>
      <c r="P36" s="210">
        <f t="shared" si="11"/>
        <v>142645152.28438228</v>
      </c>
      <c r="Q36" s="204">
        <f t="shared" si="11"/>
        <v>164645601.16666666</v>
      </c>
      <c r="R36" s="204"/>
      <c r="S36" s="204">
        <f>+P36-M36</f>
        <v>142645152.28438228</v>
      </c>
    </row>
    <row r="37" spans="2:19" hidden="1"/>
    <row r="38" spans="2:19" ht="37.5" hidden="1" customHeight="1">
      <c r="C38" s="207" t="s">
        <v>35</v>
      </c>
      <c r="D38" s="208" t="s">
        <v>32</v>
      </c>
      <c r="E38" s="208" t="s">
        <v>4</v>
      </c>
      <c r="F38" s="208" t="s">
        <v>5</v>
      </c>
      <c r="G38" s="208" t="s">
        <v>6</v>
      </c>
      <c r="H38" s="208" t="s">
        <v>7</v>
      </c>
      <c r="I38" s="208" t="s">
        <v>8</v>
      </c>
      <c r="J38" s="208" t="s">
        <v>9</v>
      </c>
      <c r="L38" s="207" t="s">
        <v>36</v>
      </c>
      <c r="M38" s="208" t="s">
        <v>3</v>
      </c>
      <c r="N38" s="208" t="s">
        <v>4</v>
      </c>
      <c r="O38" s="208" t="s">
        <v>5</v>
      </c>
      <c r="P38" s="208" t="s">
        <v>6</v>
      </c>
      <c r="Q38" s="208" t="s">
        <v>7</v>
      </c>
      <c r="R38" s="208" t="s">
        <v>8</v>
      </c>
      <c r="S38" s="208" t="s">
        <v>9</v>
      </c>
    </row>
    <row r="39" spans="2:19" ht="37.5" hidden="1" customHeight="1">
      <c r="C39" s="176" t="s">
        <v>10</v>
      </c>
      <c r="D39" s="211"/>
      <c r="E39" s="204">
        <f>+'11 seats'!E71</f>
        <v>44779033.333333313</v>
      </c>
      <c r="F39" s="211"/>
      <c r="G39" s="204">
        <f>+'11 seats'!E85</f>
        <v>43140634.306172803</v>
      </c>
      <c r="H39" s="211"/>
      <c r="I39" s="288" t="s">
        <v>37</v>
      </c>
      <c r="J39" s="204"/>
      <c r="L39" s="176" t="s">
        <v>10</v>
      </c>
      <c r="M39" s="211"/>
      <c r="N39" s="204">
        <f>+'Honda CRV'!E30</f>
        <v>536456500</v>
      </c>
      <c r="O39" s="211"/>
      <c r="P39" s="211"/>
      <c r="Q39" s="211"/>
      <c r="R39" s="204"/>
      <c r="S39" s="204"/>
    </row>
    <row r="40" spans="2:19" ht="37.5" hidden="1" customHeight="1">
      <c r="C40" s="176" t="s">
        <v>15</v>
      </c>
      <c r="D40" s="211"/>
      <c r="E40" s="204">
        <f>+'11 seats'!H71</f>
        <v>49604299.999999978</v>
      </c>
      <c r="F40" s="211"/>
      <c r="G40" s="204">
        <f>+'11 seats'!H85</f>
        <v>48544446.959259301</v>
      </c>
      <c r="H40" s="211"/>
      <c r="I40" s="289"/>
      <c r="J40" s="204"/>
      <c r="L40" s="176" t="s">
        <v>15</v>
      </c>
      <c r="M40" s="211"/>
      <c r="N40" s="204">
        <f>+'Honda CRV'!H30</f>
        <v>367440200</v>
      </c>
      <c r="O40" s="211"/>
      <c r="P40" s="211"/>
      <c r="Q40" s="211"/>
      <c r="R40" s="204"/>
      <c r="S40" s="204"/>
    </row>
    <row r="41" spans="2:19" ht="37.5" hidden="1" customHeight="1">
      <c r="C41" s="176" t="s">
        <v>17</v>
      </c>
      <c r="D41" s="211"/>
      <c r="E41" s="204">
        <f>+'11 seats'!K71</f>
        <v>47565933.333333299</v>
      </c>
      <c r="F41" s="211"/>
      <c r="G41" s="204">
        <f>+'11 seats'!K85</f>
        <v>46842024.918518499</v>
      </c>
      <c r="H41" s="211"/>
      <c r="I41" s="290"/>
      <c r="J41" s="204"/>
      <c r="L41" s="176" t="s">
        <v>17</v>
      </c>
      <c r="M41" s="211"/>
      <c r="N41" s="204">
        <f>+'Honda CRV'!K30</f>
        <v>364491366.66666663</v>
      </c>
      <c r="O41" s="211"/>
      <c r="P41" s="211"/>
      <c r="Q41" s="211"/>
      <c r="R41" s="204"/>
      <c r="S41" s="204"/>
    </row>
    <row r="42" spans="2:19" ht="37.5" hidden="1" customHeight="1">
      <c r="C42" s="176" t="s">
        <v>19</v>
      </c>
      <c r="D42" s="211">
        <f t="shared" ref="D42:J42" si="12">SUM(D39:D41)</f>
        <v>0</v>
      </c>
      <c r="E42" s="204">
        <f t="shared" si="12"/>
        <v>141949266.66666657</v>
      </c>
      <c r="F42" s="211">
        <f t="shared" si="12"/>
        <v>0</v>
      </c>
      <c r="G42" s="204">
        <f t="shared" si="12"/>
        <v>138527106.1839506</v>
      </c>
      <c r="H42" s="211">
        <f t="shared" si="12"/>
        <v>0</v>
      </c>
      <c r="I42" s="204">
        <f t="shared" si="12"/>
        <v>0</v>
      </c>
      <c r="J42" s="204">
        <f t="shared" si="12"/>
        <v>0</v>
      </c>
      <c r="L42" s="176" t="s">
        <v>19</v>
      </c>
      <c r="M42" s="211">
        <f t="shared" ref="M42:S42" si="13">SUM(M39:M41)</f>
        <v>0</v>
      </c>
      <c r="N42" s="204">
        <f t="shared" si="13"/>
        <v>1268388066.6666665</v>
      </c>
      <c r="O42" s="211">
        <f t="shared" si="13"/>
        <v>0</v>
      </c>
      <c r="P42" s="211">
        <f t="shared" si="13"/>
        <v>0</v>
      </c>
      <c r="Q42" s="211">
        <f t="shared" si="13"/>
        <v>0</v>
      </c>
      <c r="R42" s="204">
        <f t="shared" si="13"/>
        <v>0</v>
      </c>
      <c r="S42" s="204">
        <f t="shared" si="13"/>
        <v>0</v>
      </c>
    </row>
    <row r="43" spans="2:19" ht="37.5" hidden="1" customHeight="1">
      <c r="C43" s="176" t="s">
        <v>20</v>
      </c>
      <c r="D43" s="204"/>
      <c r="E43" s="210">
        <f>AVERAGE(E39:E41)</f>
        <v>47316422.222222187</v>
      </c>
      <c r="F43" s="204"/>
      <c r="G43" s="210">
        <f>AVERAGE(G39:G41)</f>
        <v>46175702.06131687</v>
      </c>
      <c r="H43" s="204"/>
      <c r="I43" s="204"/>
      <c r="J43" s="204"/>
      <c r="L43" s="176" t="s">
        <v>20</v>
      </c>
      <c r="M43" s="204"/>
      <c r="N43" s="210">
        <f>AVERAGE(N39:N41)</f>
        <v>422796022.22222215</v>
      </c>
      <c r="O43" s="204"/>
      <c r="P43" s="204"/>
      <c r="Q43" s="204"/>
      <c r="R43" s="204"/>
      <c r="S43" s="204">
        <f>+P43-M43</f>
        <v>0</v>
      </c>
    </row>
    <row r="44" spans="2:19" hidden="1"/>
    <row r="45" spans="2:19" hidden="1"/>
    <row r="48" spans="2:19" ht="24" customHeight="1">
      <c r="B48" s="275" t="s">
        <v>38</v>
      </c>
      <c r="C48" s="274" t="s">
        <v>39</v>
      </c>
      <c r="D48" s="274" t="s">
        <v>40</v>
      </c>
      <c r="E48" s="274" t="s">
        <v>41</v>
      </c>
      <c r="F48" s="268" t="s">
        <v>3</v>
      </c>
      <c r="G48" s="269"/>
      <c r="H48" s="268" t="s">
        <v>42</v>
      </c>
      <c r="I48" s="269"/>
      <c r="J48" s="274" t="s">
        <v>43</v>
      </c>
      <c r="K48" s="274" t="s">
        <v>8</v>
      </c>
      <c r="L48" s="274"/>
      <c r="M48" s="274"/>
    </row>
    <row r="49" spans="2:16" ht="24" customHeight="1">
      <c r="B49" s="275"/>
      <c r="C49" s="274"/>
      <c r="D49" s="274"/>
      <c r="E49" s="274"/>
      <c r="F49" s="3" t="s">
        <v>1</v>
      </c>
      <c r="G49" s="6" t="s">
        <v>44</v>
      </c>
      <c r="H49" s="6" t="s">
        <v>1</v>
      </c>
      <c r="I49" s="6" t="s">
        <v>44</v>
      </c>
      <c r="J49" s="274"/>
      <c r="K49" s="274"/>
      <c r="L49" s="274"/>
      <c r="M49" s="274"/>
    </row>
    <row r="50" spans="2:16" ht="38.25" customHeight="1">
      <c r="B50" s="176" t="s">
        <v>4</v>
      </c>
      <c r="C50" s="176" t="s">
        <v>45</v>
      </c>
      <c r="D50" s="176" t="s">
        <v>10</v>
      </c>
      <c r="E50" s="131">
        <v>1</v>
      </c>
      <c r="F50" s="202">
        <f>+Lexus!E16</f>
        <v>85121795</v>
      </c>
      <c r="G50" s="202">
        <f t="shared" ref="G50:G53" si="14">+F50*E50</f>
        <v>85121795</v>
      </c>
      <c r="H50" s="202">
        <f>+Lexus!H16</f>
        <v>76154200</v>
      </c>
      <c r="I50" s="202">
        <f t="shared" ref="I50:I53" si="15">+H50*E50</f>
        <v>76154200</v>
      </c>
      <c r="J50" s="212">
        <f t="shared" ref="J50:J53" si="16">+I50-G50</f>
        <v>-8967595</v>
      </c>
      <c r="K50" s="270" t="s">
        <v>46</v>
      </c>
      <c r="L50" s="271"/>
      <c r="M50" s="271"/>
    </row>
    <row r="51" spans="2:16" ht="31.5" customHeight="1">
      <c r="B51" s="276" t="s">
        <v>4</v>
      </c>
      <c r="C51" s="279" t="s">
        <v>47</v>
      </c>
      <c r="D51" s="176" t="s">
        <v>10</v>
      </c>
      <c r="E51" s="131">
        <v>1</v>
      </c>
      <c r="F51" s="202">
        <f>+'Camry 2.5G'!E16</f>
        <v>42471157</v>
      </c>
      <c r="G51" s="202">
        <f t="shared" si="14"/>
        <v>42471157</v>
      </c>
      <c r="H51" s="202">
        <f>+'Camry 2.5G'!E31</f>
        <v>40682600</v>
      </c>
      <c r="I51" s="202">
        <f t="shared" si="15"/>
        <v>40682600</v>
      </c>
      <c r="J51" s="212">
        <f t="shared" si="16"/>
        <v>-1788557</v>
      </c>
      <c r="K51" s="270" t="s">
        <v>14</v>
      </c>
      <c r="L51" s="271"/>
      <c r="M51" s="271"/>
    </row>
    <row r="52" spans="2:16" ht="31.5" customHeight="1">
      <c r="B52" s="277"/>
      <c r="C52" s="280"/>
      <c r="D52" s="176" t="s">
        <v>15</v>
      </c>
      <c r="E52" s="131">
        <v>1</v>
      </c>
      <c r="F52" s="202">
        <f>+'Camry 2.5G'!H16</f>
        <v>45837757</v>
      </c>
      <c r="G52" s="202">
        <f t="shared" si="14"/>
        <v>45837757</v>
      </c>
      <c r="H52" s="202">
        <f>+'Camry 2.5G'!H31</f>
        <v>45223800</v>
      </c>
      <c r="I52" s="202">
        <f t="shared" si="15"/>
        <v>45223800</v>
      </c>
      <c r="J52" s="212">
        <f t="shared" si="16"/>
        <v>-613957</v>
      </c>
      <c r="K52" s="270" t="s">
        <v>16</v>
      </c>
      <c r="L52" s="271"/>
      <c r="M52" s="271"/>
    </row>
    <row r="53" spans="2:16" ht="31.5" customHeight="1">
      <c r="B53" s="277"/>
      <c r="C53" s="280"/>
      <c r="D53" s="176" t="s">
        <v>17</v>
      </c>
      <c r="E53" s="131">
        <v>1</v>
      </c>
      <c r="F53" s="202">
        <f>+'Camry 2.5G'!K16</f>
        <v>44133157</v>
      </c>
      <c r="G53" s="202">
        <f t="shared" si="14"/>
        <v>44133157</v>
      </c>
      <c r="H53" s="202">
        <f>+'Camry 2.5G'!K31</f>
        <v>42965200</v>
      </c>
      <c r="I53" s="202">
        <f t="shared" si="15"/>
        <v>42965200</v>
      </c>
      <c r="J53" s="212">
        <f t="shared" si="16"/>
        <v>-1167957</v>
      </c>
      <c r="K53" s="271"/>
      <c r="L53" s="271"/>
      <c r="M53" s="271"/>
    </row>
    <row r="54" spans="2:16" ht="24" customHeight="1">
      <c r="B54" s="278"/>
      <c r="C54" s="281"/>
      <c r="D54" s="194" t="s">
        <v>48</v>
      </c>
      <c r="E54" s="178">
        <f t="shared" ref="E54:J54" si="17">SUM(E51:E53)</f>
        <v>3</v>
      </c>
      <c r="F54" s="214">
        <f t="shared" si="17"/>
        <v>132442071</v>
      </c>
      <c r="G54" s="214">
        <f t="shared" si="17"/>
        <v>132442071</v>
      </c>
      <c r="H54" s="214">
        <f t="shared" si="17"/>
        <v>128871600</v>
      </c>
      <c r="I54" s="214">
        <f t="shared" si="17"/>
        <v>128871600</v>
      </c>
      <c r="J54" s="217">
        <f t="shared" si="17"/>
        <v>-3570471</v>
      </c>
      <c r="K54" s="271"/>
      <c r="L54" s="271"/>
      <c r="M54" s="271"/>
    </row>
    <row r="55" spans="2:16" ht="31.5" customHeight="1">
      <c r="B55" s="279" t="s">
        <v>6</v>
      </c>
      <c r="C55" s="279" t="s">
        <v>47</v>
      </c>
      <c r="D55" s="176" t="s">
        <v>10</v>
      </c>
      <c r="E55" s="131">
        <v>1</v>
      </c>
      <c r="F55" s="202">
        <f>+'Camry 2.5G'!E16</f>
        <v>42471157</v>
      </c>
      <c r="G55" s="202">
        <f t="shared" ref="G55:G57" si="18">+F55*E55</f>
        <v>42471157</v>
      </c>
      <c r="H55" s="202">
        <f>+'Camry 2.5G'!E60</f>
        <v>33197822</v>
      </c>
      <c r="I55" s="202">
        <f t="shared" ref="I55:I57" si="19">+H55*E55</f>
        <v>33197822</v>
      </c>
      <c r="J55" s="212">
        <f t="shared" ref="J55:J57" si="20">+I55-G55</f>
        <v>-9273335</v>
      </c>
      <c r="K55" s="270" t="s">
        <v>14</v>
      </c>
      <c r="L55" s="271"/>
      <c r="M55" s="271"/>
    </row>
    <row r="56" spans="2:16" ht="31.5" customHeight="1">
      <c r="B56" s="280"/>
      <c r="C56" s="280"/>
      <c r="D56" s="176" t="s">
        <v>15</v>
      </c>
      <c r="E56" s="131">
        <v>1</v>
      </c>
      <c r="F56" s="202">
        <f>+'Camry 2.5G'!H16</f>
        <v>45837757</v>
      </c>
      <c r="G56" s="202">
        <f t="shared" si="18"/>
        <v>45837757</v>
      </c>
      <c r="H56" s="202">
        <f>+'Camry 2.5G'!H60</f>
        <v>38273422</v>
      </c>
      <c r="I56" s="202">
        <f t="shared" si="19"/>
        <v>38273422</v>
      </c>
      <c r="J56" s="212">
        <f t="shared" si="20"/>
        <v>-7564335</v>
      </c>
      <c r="K56" s="270" t="s">
        <v>16</v>
      </c>
      <c r="L56" s="271"/>
      <c r="M56" s="271"/>
    </row>
    <row r="57" spans="2:16" ht="31.5" customHeight="1">
      <c r="B57" s="280"/>
      <c r="C57" s="280"/>
      <c r="D57" s="176" t="s">
        <v>17</v>
      </c>
      <c r="E57" s="131">
        <v>1</v>
      </c>
      <c r="F57" s="202">
        <f>+'Camry 2.5G'!K16</f>
        <v>44133157</v>
      </c>
      <c r="G57" s="202">
        <f t="shared" si="18"/>
        <v>44133157</v>
      </c>
      <c r="H57" s="202">
        <f>+'Camry 2.5G'!K60</f>
        <v>35764522</v>
      </c>
      <c r="I57" s="202">
        <f t="shared" si="19"/>
        <v>35764522</v>
      </c>
      <c r="J57" s="212">
        <f t="shared" si="20"/>
        <v>-8368635</v>
      </c>
      <c r="K57" s="271"/>
      <c r="L57" s="271"/>
      <c r="M57" s="271"/>
    </row>
    <row r="58" spans="2:16" ht="31.5" customHeight="1">
      <c r="B58" s="281"/>
      <c r="C58" s="281"/>
      <c r="D58" s="194" t="s">
        <v>48</v>
      </c>
      <c r="E58" s="178">
        <f t="shared" ref="E58:J58" si="21">SUM(E55:E57)</f>
        <v>3</v>
      </c>
      <c r="F58" s="214">
        <f t="shared" si="21"/>
        <v>132442071</v>
      </c>
      <c r="G58" s="214">
        <f t="shared" si="21"/>
        <v>132442071</v>
      </c>
      <c r="H58" s="214">
        <f t="shared" si="21"/>
        <v>107235766</v>
      </c>
      <c r="I58" s="214">
        <f t="shared" si="21"/>
        <v>107235766</v>
      </c>
      <c r="J58" s="217">
        <f t="shared" si="21"/>
        <v>-25206305</v>
      </c>
      <c r="K58" s="272" t="s">
        <v>49</v>
      </c>
      <c r="L58" s="273"/>
      <c r="M58" s="273"/>
      <c r="N58" s="21">
        <f>J54-J58</f>
        <v>21635834</v>
      </c>
    </row>
    <row r="59" spans="2:16" ht="27" customHeight="1">
      <c r="B59" s="279" t="s">
        <v>6</v>
      </c>
      <c r="C59" s="279" t="s">
        <v>50</v>
      </c>
      <c r="D59" s="176" t="s">
        <v>10</v>
      </c>
      <c r="E59" s="131">
        <v>11</v>
      </c>
      <c r="F59" s="202">
        <f t="shared" ref="F59:F63" si="22">+G59/E59</f>
        <v>31078772.727272727</v>
      </c>
      <c r="G59" s="202">
        <f>+Fortuner!E16</f>
        <v>341866500</v>
      </c>
      <c r="H59" s="202">
        <f t="shared" ref="H59:H63" si="23">+I59/E59</f>
        <v>32341679.09090909</v>
      </c>
      <c r="I59" s="202">
        <f>+Fortuner!E78</f>
        <v>355758470</v>
      </c>
      <c r="J59" s="212">
        <f t="shared" ref="J59:J63" si="24">+I59-G59</f>
        <v>13891970</v>
      </c>
      <c r="K59" s="270" t="s">
        <v>24</v>
      </c>
      <c r="L59" s="271"/>
      <c r="M59" s="271"/>
      <c r="N59" s="21">
        <f>N58/23000</f>
        <v>940.68843478260874</v>
      </c>
      <c r="O59">
        <f t="shared" ref="O59:O62" si="25">+F59/4000</f>
        <v>7769.693181818182</v>
      </c>
      <c r="P59">
        <f t="shared" ref="P59:P62" si="26">+H59/4300</f>
        <v>7521.3207188160677</v>
      </c>
    </row>
    <row r="60" spans="2:16" ht="28.5" customHeight="1">
      <c r="B60" s="280"/>
      <c r="C60" s="280"/>
      <c r="D60" s="176" t="s">
        <v>15</v>
      </c>
      <c r="E60" s="131">
        <v>7</v>
      </c>
      <c r="F60" s="202">
        <f t="shared" si="22"/>
        <v>31942000</v>
      </c>
      <c r="G60" s="202">
        <f>+Fortuner!H16</f>
        <v>223594000</v>
      </c>
      <c r="H60" s="202">
        <f t="shared" si="23"/>
        <v>36151184.285714284</v>
      </c>
      <c r="I60" s="202">
        <f>+Fortuner!H78</f>
        <v>253058290</v>
      </c>
      <c r="J60" s="212">
        <f t="shared" si="24"/>
        <v>29464290</v>
      </c>
      <c r="K60" s="291" t="s">
        <v>51</v>
      </c>
      <c r="L60" s="292"/>
      <c r="M60" s="293"/>
      <c r="N60" s="22" t="s">
        <v>52</v>
      </c>
      <c r="O60">
        <f t="shared" si="25"/>
        <v>7985.5</v>
      </c>
      <c r="P60">
        <f t="shared" si="26"/>
        <v>8407.2521594684385</v>
      </c>
    </row>
    <row r="61" spans="2:16" ht="28.5" customHeight="1">
      <c r="B61" s="280"/>
      <c r="C61" s="280"/>
      <c r="D61" s="176" t="s">
        <v>17</v>
      </c>
      <c r="E61" s="131">
        <v>1</v>
      </c>
      <c r="F61" s="202">
        <f>+Fortuner!E32</f>
        <v>44789186</v>
      </c>
      <c r="G61" s="202">
        <f>+F61*E61</f>
        <v>44789186</v>
      </c>
      <c r="H61" s="202">
        <f>+Fortuner!H32</f>
        <v>35320438</v>
      </c>
      <c r="I61" s="202">
        <f>+H61*E61</f>
        <v>35320438</v>
      </c>
      <c r="J61" s="212">
        <f t="shared" si="24"/>
        <v>-9468748</v>
      </c>
      <c r="K61" s="294"/>
      <c r="L61" s="295"/>
      <c r="M61" s="296"/>
      <c r="N61" s="22"/>
      <c r="O61">
        <f t="shared" si="25"/>
        <v>11197.2965</v>
      </c>
      <c r="P61">
        <f t="shared" si="26"/>
        <v>8214.0553488372097</v>
      </c>
    </row>
    <row r="62" spans="2:16" ht="28.5" customHeight="1">
      <c r="B62" s="280"/>
      <c r="C62" s="281"/>
      <c r="D62" s="176" t="s">
        <v>17</v>
      </c>
      <c r="E62" s="131">
        <v>7</v>
      </c>
      <c r="F62" s="202">
        <f t="shared" si="22"/>
        <v>31579357.142857142</v>
      </c>
      <c r="G62" s="202">
        <f>+Fortuner!K16</f>
        <v>221055500</v>
      </c>
      <c r="H62" s="202">
        <f t="shared" si="23"/>
        <v>35820231.904761903</v>
      </c>
      <c r="I62" s="202">
        <f>+Fortuner!K78</f>
        <v>250741623.33333334</v>
      </c>
      <c r="J62" s="212">
        <f t="shared" si="24"/>
        <v>29686123.333333343</v>
      </c>
      <c r="K62" s="297"/>
      <c r="L62" s="298"/>
      <c r="M62" s="299"/>
      <c r="O62">
        <f t="shared" si="25"/>
        <v>7894.8392857142853</v>
      </c>
      <c r="P62">
        <f t="shared" si="26"/>
        <v>8330.286489479513</v>
      </c>
    </row>
    <row r="63" spans="2:16" ht="37.5" customHeight="1">
      <c r="B63" s="280"/>
      <c r="C63" s="162" t="s">
        <v>53</v>
      </c>
      <c r="D63" s="176" t="s">
        <v>15</v>
      </c>
      <c r="E63" s="131">
        <v>1</v>
      </c>
      <c r="F63" s="202">
        <f t="shared" si="22"/>
        <v>44977000</v>
      </c>
      <c r="G63" s="202">
        <f>+Fortuner!N16</f>
        <v>44977000</v>
      </c>
      <c r="H63" s="202">
        <f t="shared" si="23"/>
        <v>42965470</v>
      </c>
      <c r="I63" s="202">
        <f>+Fortuner!N78</f>
        <v>42965470</v>
      </c>
      <c r="J63" s="212">
        <f t="shared" si="24"/>
        <v>-2011530</v>
      </c>
      <c r="K63" s="270" t="s">
        <v>54</v>
      </c>
      <c r="L63" s="271"/>
      <c r="M63" s="271"/>
      <c r="O63">
        <f>+F63/2600</f>
        <v>17298.846153846152</v>
      </c>
      <c r="P63">
        <f>+H63/4500</f>
        <v>9547.8822222222225</v>
      </c>
    </row>
    <row r="64" spans="2:16" ht="25.5" customHeight="1">
      <c r="B64" s="281"/>
      <c r="C64" s="213"/>
      <c r="D64" s="194" t="s">
        <v>48</v>
      </c>
      <c r="E64" s="178">
        <f t="shared" ref="E64:J64" si="27">SUM(E59:E63)</f>
        <v>27</v>
      </c>
      <c r="F64" s="214">
        <f t="shared" si="27"/>
        <v>184366315.87012985</v>
      </c>
      <c r="G64" s="214">
        <f t="shared" si="27"/>
        <v>876282186</v>
      </c>
      <c r="H64" s="214">
        <f t="shared" si="27"/>
        <v>182599003.28138527</v>
      </c>
      <c r="I64" s="214">
        <f t="shared" si="27"/>
        <v>937844291.33333337</v>
      </c>
      <c r="J64" s="217">
        <f t="shared" si="27"/>
        <v>61562105.333333343</v>
      </c>
      <c r="K64" s="272" t="s">
        <v>55</v>
      </c>
      <c r="L64" s="273"/>
      <c r="M64" s="273"/>
      <c r="O64" s="21"/>
    </row>
    <row r="65" spans="2:15" ht="27" customHeight="1">
      <c r="B65" s="279" t="s">
        <v>5</v>
      </c>
      <c r="C65" s="279" t="s">
        <v>50</v>
      </c>
      <c r="D65" s="176" t="s">
        <v>10</v>
      </c>
      <c r="E65" s="131">
        <v>11</v>
      </c>
      <c r="F65" s="202">
        <f t="shared" ref="F65:F69" si="28">+G65/E65</f>
        <v>31078772.727272727</v>
      </c>
      <c r="G65" s="202">
        <f>+Fortuner!E16</f>
        <v>341866500</v>
      </c>
      <c r="H65" s="202">
        <f t="shared" ref="H65:H69" si="29">+I65/E65</f>
        <v>40330603.636363633</v>
      </c>
      <c r="I65" s="202">
        <f>+Fortuner!E62</f>
        <v>443636640</v>
      </c>
      <c r="J65" s="212">
        <f t="shared" ref="J65:J69" si="30">+I65-G65</f>
        <v>101770140</v>
      </c>
      <c r="K65" s="270" t="s">
        <v>24</v>
      </c>
      <c r="L65" s="271"/>
      <c r="M65" s="271"/>
    </row>
    <row r="66" spans="2:15" ht="28.5" customHeight="1">
      <c r="B66" s="280"/>
      <c r="C66" s="280"/>
      <c r="D66" s="176" t="s">
        <v>15</v>
      </c>
      <c r="E66" s="131">
        <v>7</v>
      </c>
      <c r="F66" s="202">
        <f t="shared" si="28"/>
        <v>31942000</v>
      </c>
      <c r="G66" s="202">
        <f>+Fortuner!H16</f>
        <v>223594000</v>
      </c>
      <c r="H66" s="202">
        <f t="shared" si="29"/>
        <v>45020117.142857142</v>
      </c>
      <c r="I66" s="202">
        <f>+Fortuner!H62</f>
        <v>315140820</v>
      </c>
      <c r="J66" s="212">
        <f t="shared" si="30"/>
        <v>91546820</v>
      </c>
      <c r="K66" s="291" t="s">
        <v>51</v>
      </c>
      <c r="L66" s="292"/>
      <c r="M66" s="293"/>
      <c r="N66" s="22" t="s">
        <v>52</v>
      </c>
    </row>
    <row r="67" spans="2:15" ht="28.5" customHeight="1">
      <c r="B67" s="280"/>
      <c r="C67" s="280"/>
      <c r="D67" s="176" t="s">
        <v>17</v>
      </c>
      <c r="E67" s="131">
        <v>1</v>
      </c>
      <c r="F67" s="202">
        <f>+F61</f>
        <v>44789186</v>
      </c>
      <c r="G67" s="202">
        <f>+F67*E67</f>
        <v>44789186</v>
      </c>
      <c r="H67" s="202">
        <f>+Fortuner!K32</f>
        <v>38479080</v>
      </c>
      <c r="I67" s="202">
        <f>+H67*E67</f>
        <v>38479080</v>
      </c>
      <c r="J67" s="212">
        <f t="shared" si="30"/>
        <v>-6310106</v>
      </c>
      <c r="K67" s="294"/>
      <c r="L67" s="295"/>
      <c r="M67" s="296"/>
      <c r="N67" s="22"/>
    </row>
    <row r="68" spans="2:15" ht="28.5" customHeight="1">
      <c r="B68" s="280"/>
      <c r="C68" s="281"/>
      <c r="D68" s="176" t="s">
        <v>17</v>
      </c>
      <c r="E68" s="131">
        <v>7</v>
      </c>
      <c r="F68" s="202">
        <f t="shared" si="28"/>
        <v>31579357.142857142</v>
      </c>
      <c r="G68" s="202">
        <f>+Fortuner!K16</f>
        <v>221055500</v>
      </c>
      <c r="H68" s="202">
        <f t="shared" si="29"/>
        <v>44643926.666666672</v>
      </c>
      <c r="I68" s="202">
        <f>+Fortuner!K62</f>
        <v>312507486.66666669</v>
      </c>
      <c r="J68" s="212">
        <f t="shared" si="30"/>
        <v>91451986.666666687</v>
      </c>
      <c r="K68" s="297"/>
      <c r="L68" s="298"/>
      <c r="M68" s="299"/>
    </row>
    <row r="69" spans="2:15" ht="37.5" customHeight="1">
      <c r="B69" s="280"/>
      <c r="C69" s="162" t="s">
        <v>53</v>
      </c>
      <c r="D69" s="176" t="s">
        <v>15</v>
      </c>
      <c r="E69" s="131">
        <v>1</v>
      </c>
      <c r="F69" s="202">
        <f t="shared" si="28"/>
        <v>44977000</v>
      </c>
      <c r="G69" s="202">
        <f>+Fortuner!N16</f>
        <v>44977000</v>
      </c>
      <c r="H69" s="202">
        <f t="shared" si="29"/>
        <v>53826900</v>
      </c>
      <c r="I69" s="202">
        <f>+Fortuner!N62</f>
        <v>53826900</v>
      </c>
      <c r="J69" s="212">
        <f t="shared" si="30"/>
        <v>8849900</v>
      </c>
      <c r="K69" s="270" t="s">
        <v>54</v>
      </c>
      <c r="L69" s="271"/>
      <c r="M69" s="271"/>
    </row>
    <row r="70" spans="2:15" ht="26.25" customHeight="1">
      <c r="B70" s="281"/>
      <c r="C70" s="213"/>
      <c r="D70" s="194" t="s">
        <v>48</v>
      </c>
      <c r="E70" s="178">
        <f t="shared" ref="E70:J70" si="31">SUM(E65:E69)</f>
        <v>27</v>
      </c>
      <c r="F70" s="214">
        <f t="shared" si="31"/>
        <v>184366315.87012985</v>
      </c>
      <c r="G70" s="214">
        <f t="shared" si="31"/>
        <v>876282186</v>
      </c>
      <c r="H70" s="214">
        <f t="shared" si="31"/>
        <v>222300627.44588745</v>
      </c>
      <c r="I70" s="214">
        <f t="shared" si="31"/>
        <v>1163590926.6666667</v>
      </c>
      <c r="J70" s="217">
        <f t="shared" si="31"/>
        <v>287308740.66666669</v>
      </c>
      <c r="K70" s="272" t="s">
        <v>56</v>
      </c>
      <c r="L70" s="273"/>
      <c r="M70" s="273"/>
      <c r="O70" s="21"/>
    </row>
    <row r="71" spans="2:15" ht="27" customHeight="1">
      <c r="B71" s="279" t="s">
        <v>7</v>
      </c>
      <c r="C71" s="279" t="s">
        <v>50</v>
      </c>
      <c r="D71" s="176" t="s">
        <v>10</v>
      </c>
      <c r="E71" s="131">
        <v>11</v>
      </c>
      <c r="F71" s="202">
        <f t="shared" ref="F71:F75" si="32">+G71/E71</f>
        <v>31078772.727272727</v>
      </c>
      <c r="G71" s="202">
        <f>+Fortuner!E16</f>
        <v>341866500</v>
      </c>
      <c r="H71" s="202">
        <f t="shared" ref="H71:H75" si="33">+I71/E71</f>
        <v>37980073.454545453</v>
      </c>
      <c r="I71" s="202">
        <f>+Fortuner!E99</f>
        <v>417780808</v>
      </c>
      <c r="J71" s="212">
        <f t="shared" ref="J71:J75" si="34">+I71-G71</f>
        <v>75914308</v>
      </c>
      <c r="K71" s="270" t="s">
        <v>24</v>
      </c>
      <c r="L71" s="271"/>
      <c r="M71" s="271"/>
    </row>
    <row r="72" spans="2:15" ht="28.5" customHeight="1">
      <c r="B72" s="280"/>
      <c r="C72" s="280"/>
      <c r="D72" s="176" t="s">
        <v>15</v>
      </c>
      <c r="E72" s="131">
        <v>7</v>
      </c>
      <c r="F72" s="202">
        <f t="shared" si="32"/>
        <v>31942000</v>
      </c>
      <c r="G72" s="202">
        <f>+Fortuner!H16</f>
        <v>223594000</v>
      </c>
      <c r="H72" s="202">
        <f t="shared" si="33"/>
        <v>40078004.142857142</v>
      </c>
      <c r="I72" s="202">
        <f>+Fortuner!H99</f>
        <v>280546029</v>
      </c>
      <c r="J72" s="212">
        <f t="shared" si="34"/>
        <v>56952029</v>
      </c>
      <c r="K72" s="291" t="s">
        <v>51</v>
      </c>
      <c r="L72" s="292"/>
      <c r="M72" s="293"/>
      <c r="N72" s="22" t="s">
        <v>52</v>
      </c>
    </row>
    <row r="73" spans="2:15" ht="28.5" customHeight="1">
      <c r="B73" s="280"/>
      <c r="C73" s="280"/>
      <c r="D73" s="176" t="s">
        <v>17</v>
      </c>
      <c r="E73" s="131">
        <v>1</v>
      </c>
      <c r="F73" s="202">
        <f>+F61</f>
        <v>44789186</v>
      </c>
      <c r="G73" s="202">
        <f>+F73*E73</f>
        <v>44789186</v>
      </c>
      <c r="H73" s="202">
        <f>+Fortuner!N32</f>
        <v>38618478</v>
      </c>
      <c r="I73" s="202">
        <f>+H73*E73</f>
        <v>38618478</v>
      </c>
      <c r="J73" s="212">
        <f t="shared" si="34"/>
        <v>-6170708</v>
      </c>
      <c r="K73" s="294"/>
      <c r="L73" s="295"/>
      <c r="M73" s="296"/>
      <c r="N73" s="22"/>
    </row>
    <row r="74" spans="2:15" ht="28.5" customHeight="1">
      <c r="B74" s="280"/>
      <c r="C74" s="281"/>
      <c r="D74" s="176" t="s">
        <v>17</v>
      </c>
      <c r="E74" s="131">
        <v>7</v>
      </c>
      <c r="F74" s="202">
        <f t="shared" si="32"/>
        <v>31579357.142857142</v>
      </c>
      <c r="G74" s="202">
        <f>+Fortuner!K16</f>
        <v>221055500</v>
      </c>
      <c r="H74" s="202">
        <f t="shared" si="33"/>
        <v>39857766.047619045</v>
      </c>
      <c r="I74" s="202">
        <f>+Fortuner!K99</f>
        <v>279004362.33333331</v>
      </c>
      <c r="J74" s="212">
        <f t="shared" si="34"/>
        <v>57948862.333333313</v>
      </c>
      <c r="K74" s="297"/>
      <c r="L74" s="298"/>
      <c r="M74" s="299"/>
    </row>
    <row r="75" spans="2:15" ht="37.5" customHeight="1">
      <c r="B75" s="280"/>
      <c r="C75" s="162" t="s">
        <v>53</v>
      </c>
      <c r="D75" s="176" t="s">
        <v>15</v>
      </c>
      <c r="E75" s="131">
        <v>1</v>
      </c>
      <c r="F75" s="202">
        <f t="shared" si="32"/>
        <v>44977000</v>
      </c>
      <c r="G75" s="202">
        <f>+Fortuner!N16</f>
        <v>44977000</v>
      </c>
      <c r="H75" s="202">
        <f t="shared" si="33"/>
        <v>46653112</v>
      </c>
      <c r="I75" s="202">
        <f>+Fortuner!N99</f>
        <v>46653112</v>
      </c>
      <c r="J75" s="212">
        <f t="shared" si="34"/>
        <v>1676112</v>
      </c>
      <c r="K75" s="270" t="s">
        <v>54</v>
      </c>
      <c r="L75" s="271"/>
      <c r="M75" s="271"/>
    </row>
    <row r="76" spans="2:15" ht="25.5" customHeight="1">
      <c r="B76" s="281"/>
      <c r="C76" s="213"/>
      <c r="D76" s="194" t="s">
        <v>48</v>
      </c>
      <c r="E76" s="178">
        <f t="shared" ref="E76:J76" si="35">SUM(E71:E75)</f>
        <v>27</v>
      </c>
      <c r="F76" s="214">
        <f t="shared" si="35"/>
        <v>184366315.87012985</v>
      </c>
      <c r="G76" s="214">
        <f t="shared" si="35"/>
        <v>876282186</v>
      </c>
      <c r="H76" s="214">
        <f t="shared" si="35"/>
        <v>203187433.64502165</v>
      </c>
      <c r="I76" s="214">
        <f t="shared" si="35"/>
        <v>1062602789.3333333</v>
      </c>
      <c r="J76" s="217">
        <f t="shared" si="35"/>
        <v>186320603.33333331</v>
      </c>
      <c r="K76" s="272" t="s">
        <v>57</v>
      </c>
      <c r="L76" s="273"/>
      <c r="M76" s="273"/>
      <c r="O76" s="21"/>
    </row>
    <row r="77" spans="2:15" ht="27" customHeight="1">
      <c r="B77" s="279" t="s">
        <v>6</v>
      </c>
      <c r="C77" s="279" t="s">
        <v>58</v>
      </c>
      <c r="D77" s="176" t="s">
        <v>10</v>
      </c>
      <c r="E77" s="131">
        <v>11</v>
      </c>
      <c r="F77" s="202">
        <f t="shared" ref="F77:F81" si="36">+G77/E77</f>
        <v>31078772.727272727</v>
      </c>
      <c r="G77" s="202">
        <f t="shared" ref="G77:G80" si="37">+G65</f>
        <v>341866500</v>
      </c>
      <c r="H77" s="202">
        <f t="shared" ref="H77:H81" si="38">+I77/E77</f>
        <v>29316184.90909091</v>
      </c>
      <c r="I77" s="202">
        <f>+Xpander!E59</f>
        <v>322478034</v>
      </c>
      <c r="J77" s="212">
        <f t="shared" ref="J77:J81" si="39">+I77-G77</f>
        <v>-19388466</v>
      </c>
      <c r="K77" s="270" t="s">
        <v>24</v>
      </c>
      <c r="L77" s="271"/>
      <c r="M77" s="271"/>
    </row>
    <row r="78" spans="2:15" ht="28.5" customHeight="1">
      <c r="B78" s="280"/>
      <c r="C78" s="280"/>
      <c r="D78" s="176" t="s">
        <v>15</v>
      </c>
      <c r="E78" s="131">
        <v>7</v>
      </c>
      <c r="F78" s="202">
        <f t="shared" si="36"/>
        <v>31942000</v>
      </c>
      <c r="G78" s="202">
        <f t="shared" si="37"/>
        <v>223594000</v>
      </c>
      <c r="H78" s="202">
        <f t="shared" si="38"/>
        <v>33641628.285714284</v>
      </c>
      <c r="I78" s="202">
        <f>+Xpander!H59</f>
        <v>235491398</v>
      </c>
      <c r="J78" s="212">
        <f t="shared" si="39"/>
        <v>11897398</v>
      </c>
      <c r="K78" s="291" t="s">
        <v>51</v>
      </c>
      <c r="L78" s="292"/>
      <c r="M78" s="293"/>
      <c r="N78" s="22" t="s">
        <v>52</v>
      </c>
    </row>
    <row r="79" spans="2:15" ht="28.5" customHeight="1">
      <c r="B79" s="280"/>
      <c r="C79" s="280"/>
      <c r="D79" s="176" t="s">
        <v>17</v>
      </c>
      <c r="E79" s="131">
        <v>1</v>
      </c>
      <c r="F79" s="202">
        <f>+G79</f>
        <v>44789186</v>
      </c>
      <c r="G79" s="202">
        <f t="shared" si="37"/>
        <v>44789186</v>
      </c>
      <c r="H79" s="202">
        <f>+Xpander!K104</f>
        <v>33400914</v>
      </c>
      <c r="I79" s="202">
        <f>+H79*E79</f>
        <v>33400914</v>
      </c>
      <c r="J79" s="212">
        <f t="shared" si="39"/>
        <v>-11388272</v>
      </c>
      <c r="K79" s="294"/>
      <c r="L79" s="295"/>
      <c r="M79" s="296"/>
      <c r="N79" s="22"/>
    </row>
    <row r="80" spans="2:15" ht="28.5" customHeight="1">
      <c r="B80" s="280"/>
      <c r="C80" s="281"/>
      <c r="D80" s="176" t="s">
        <v>17</v>
      </c>
      <c r="E80" s="131">
        <v>7</v>
      </c>
      <c r="F80" s="202">
        <f t="shared" si="36"/>
        <v>31579357.142857142</v>
      </c>
      <c r="G80" s="202">
        <f t="shared" si="37"/>
        <v>221055500</v>
      </c>
      <c r="H80" s="202">
        <f t="shared" si="38"/>
        <v>33363056.857142854</v>
      </c>
      <c r="I80" s="202">
        <f>+Xpander!K59</f>
        <v>233541397.99999997</v>
      </c>
      <c r="J80" s="212">
        <f t="shared" si="39"/>
        <v>12485897.99999997</v>
      </c>
      <c r="K80" s="297"/>
      <c r="L80" s="298"/>
      <c r="M80" s="299"/>
    </row>
    <row r="81" spans="2:15" ht="37.5" customHeight="1">
      <c r="B81" s="280"/>
      <c r="C81" s="162" t="s">
        <v>59</v>
      </c>
      <c r="D81" s="176" t="s">
        <v>15</v>
      </c>
      <c r="E81" s="131">
        <v>1</v>
      </c>
      <c r="F81" s="202">
        <f t="shared" si="36"/>
        <v>44977000</v>
      </c>
      <c r="G81" s="202">
        <f>+G63</f>
        <v>44977000</v>
      </c>
      <c r="H81" s="202">
        <f t="shared" si="38"/>
        <v>40261153.968254</v>
      </c>
      <c r="I81" s="202">
        <f>+Xpander!N59</f>
        <v>40261153.968254</v>
      </c>
      <c r="J81" s="212">
        <f t="shared" si="39"/>
        <v>-4715846.0317460001</v>
      </c>
      <c r="K81" s="270" t="s">
        <v>54</v>
      </c>
      <c r="L81" s="271"/>
      <c r="M81" s="271"/>
    </row>
    <row r="82" spans="2:15" ht="25.5" customHeight="1">
      <c r="B82" s="281"/>
      <c r="C82" s="213"/>
      <c r="D82" s="194" t="s">
        <v>48</v>
      </c>
      <c r="E82" s="178">
        <f t="shared" ref="E82:J82" si="40">SUM(E77:E81)</f>
        <v>27</v>
      </c>
      <c r="F82" s="214">
        <f t="shared" si="40"/>
        <v>184366315.87012985</v>
      </c>
      <c r="G82" s="214">
        <f t="shared" si="40"/>
        <v>876282186</v>
      </c>
      <c r="H82" s="214">
        <f t="shared" si="40"/>
        <v>169982938.02020204</v>
      </c>
      <c r="I82" s="214">
        <f t="shared" si="40"/>
        <v>865172897.96825397</v>
      </c>
      <c r="J82" s="217">
        <f t="shared" si="40"/>
        <v>-11109288.03174603</v>
      </c>
      <c r="K82" s="273"/>
      <c r="L82" s="273"/>
      <c r="M82" s="273"/>
      <c r="O82" s="21"/>
    </row>
    <row r="83" spans="2:15" ht="32.1" customHeight="1">
      <c r="B83" s="276" t="s">
        <v>4</v>
      </c>
      <c r="C83" s="276" t="s">
        <v>60</v>
      </c>
      <c r="D83" s="176" t="s">
        <v>61</v>
      </c>
      <c r="E83" s="131">
        <v>18</v>
      </c>
      <c r="F83" s="202">
        <f>G83/E83</f>
        <v>43991472.081349209</v>
      </c>
      <c r="G83" s="202">
        <f>'11 seats (Hiace)'!E15</f>
        <v>791846497.46428573</v>
      </c>
      <c r="H83" s="202">
        <f>I83/E83</f>
        <v>41623202.470238097</v>
      </c>
      <c r="I83" s="202">
        <f>'11 seats (Hiace)'!E30</f>
        <v>749217644.46428573</v>
      </c>
      <c r="J83" s="212">
        <f>+I83-G83</f>
        <v>-42628853</v>
      </c>
      <c r="K83" s="270" t="s">
        <v>62</v>
      </c>
      <c r="L83" s="271"/>
      <c r="M83" s="271"/>
    </row>
    <row r="84" spans="2:15" ht="30" customHeight="1">
      <c r="B84" s="277"/>
      <c r="C84" s="277"/>
      <c r="D84" s="176" t="s">
        <v>63</v>
      </c>
      <c r="E84" s="131">
        <v>10</v>
      </c>
      <c r="F84" s="202">
        <f>G84/E84</f>
        <v>47874595.346428573</v>
      </c>
      <c r="G84" s="202">
        <f>'11 seats (Hiace)'!Q15</f>
        <v>478745953.46428573</v>
      </c>
      <c r="H84" s="202">
        <f>I84/E84</f>
        <v>45347284.446428575</v>
      </c>
      <c r="I84" s="202">
        <f>'11 seats (Hiace)'!E45</f>
        <v>453472844.46428573</v>
      </c>
      <c r="J84" s="212">
        <f>+I84-G84</f>
        <v>-25273109</v>
      </c>
      <c r="K84" s="271"/>
      <c r="L84" s="271"/>
      <c r="M84" s="271"/>
    </row>
    <row r="85" spans="2:15" ht="33" customHeight="1">
      <c r="B85" s="277"/>
      <c r="C85" s="277"/>
      <c r="D85" s="162" t="s">
        <v>64</v>
      </c>
      <c r="E85" s="176">
        <v>8</v>
      </c>
      <c r="F85" s="218"/>
      <c r="G85" s="218"/>
      <c r="H85" s="202">
        <v>52823000</v>
      </c>
      <c r="I85" s="202">
        <f t="shared" ref="I85:I90" si="41">H85*$E$85</f>
        <v>422584000</v>
      </c>
      <c r="J85" s="219"/>
      <c r="K85" s="271"/>
      <c r="L85" s="271"/>
      <c r="M85" s="271"/>
    </row>
    <row r="86" spans="2:15" ht="33" customHeight="1">
      <c r="B86" s="277"/>
      <c r="C86" s="277"/>
      <c r="D86" s="162" t="s">
        <v>65</v>
      </c>
      <c r="E86" s="176">
        <v>8</v>
      </c>
      <c r="F86" s="218"/>
      <c r="G86" s="218"/>
      <c r="H86" s="202">
        <v>48728000</v>
      </c>
      <c r="I86" s="202">
        <f t="shared" si="41"/>
        <v>389824000</v>
      </c>
      <c r="J86" s="219"/>
      <c r="K86" s="271"/>
      <c r="L86" s="271"/>
      <c r="M86" s="271"/>
    </row>
    <row r="87" spans="2:15" ht="33" customHeight="1">
      <c r="B87" s="277"/>
      <c r="C87" s="277"/>
      <c r="D87" s="162" t="s">
        <v>66</v>
      </c>
      <c r="E87" s="176">
        <v>8</v>
      </c>
      <c r="F87" s="218"/>
      <c r="G87" s="218"/>
      <c r="H87" s="202">
        <v>45794000</v>
      </c>
      <c r="I87" s="202">
        <f t="shared" si="41"/>
        <v>366352000</v>
      </c>
      <c r="J87" s="219"/>
      <c r="K87" s="271"/>
      <c r="L87" s="271"/>
      <c r="M87" s="271"/>
    </row>
    <row r="88" spans="2:15" ht="33" customHeight="1">
      <c r="B88" s="277"/>
      <c r="C88" s="277"/>
      <c r="D88" s="162" t="s">
        <v>67</v>
      </c>
      <c r="E88" s="176">
        <v>8</v>
      </c>
      <c r="F88" s="218"/>
      <c r="G88" s="218"/>
      <c r="H88" s="202">
        <v>42657000</v>
      </c>
      <c r="I88" s="202">
        <f t="shared" si="41"/>
        <v>341256000</v>
      </c>
      <c r="J88" s="219"/>
      <c r="K88" s="271"/>
      <c r="L88" s="271"/>
      <c r="M88" s="271"/>
    </row>
    <row r="89" spans="2:15" ht="33" customHeight="1">
      <c r="B89" s="277"/>
      <c r="C89" s="277"/>
      <c r="D89" s="162" t="s">
        <v>68</v>
      </c>
      <c r="E89" s="176" t="s">
        <v>69</v>
      </c>
      <c r="F89" s="218"/>
      <c r="G89" s="218"/>
      <c r="H89" s="202">
        <v>49308500</v>
      </c>
      <c r="I89" s="202">
        <f t="shared" si="41"/>
        <v>394468000</v>
      </c>
      <c r="J89" s="219"/>
      <c r="K89" s="271"/>
      <c r="L89" s="271"/>
      <c r="M89" s="271"/>
    </row>
    <row r="90" spans="2:15" ht="33" customHeight="1">
      <c r="B90" s="277"/>
      <c r="C90" s="277"/>
      <c r="D90" s="162" t="s">
        <v>70</v>
      </c>
      <c r="E90" s="176" t="s">
        <v>69</v>
      </c>
      <c r="F90" s="218"/>
      <c r="G90" s="218"/>
      <c r="H90" s="202">
        <v>45692500</v>
      </c>
      <c r="I90" s="202">
        <f t="shared" si="41"/>
        <v>365540000</v>
      </c>
      <c r="J90" s="219"/>
      <c r="K90" s="271"/>
      <c r="L90" s="271"/>
      <c r="M90" s="271"/>
    </row>
    <row r="91" spans="2:15" ht="33" customHeight="1">
      <c r="B91" s="277"/>
      <c r="C91" s="277"/>
      <c r="D91" s="176" t="s">
        <v>71</v>
      </c>
      <c r="E91" s="176"/>
      <c r="F91" s="202"/>
      <c r="G91" s="202">
        <f t="shared" ref="G91:G96" si="42">$G$83</f>
        <v>791846497.46428573</v>
      </c>
      <c r="H91" s="202"/>
      <c r="I91" s="202">
        <f t="shared" ref="I91:I96" si="43">$I$84+I85</f>
        <v>876056844.46428573</v>
      </c>
      <c r="J91" s="212">
        <f t="shared" ref="J91:J98" si="44">+I91-G91</f>
        <v>84210347</v>
      </c>
      <c r="K91" s="271"/>
      <c r="L91" s="271"/>
      <c r="M91" s="271"/>
    </row>
    <row r="92" spans="2:15" ht="33" customHeight="1">
      <c r="B92" s="277"/>
      <c r="C92" s="277"/>
      <c r="D92" s="176" t="s">
        <v>72</v>
      </c>
      <c r="E92" s="176"/>
      <c r="F92" s="202"/>
      <c r="G92" s="202">
        <f t="shared" si="42"/>
        <v>791846497.46428573</v>
      </c>
      <c r="H92" s="202"/>
      <c r="I92" s="202">
        <f t="shared" si="43"/>
        <v>843296844.46428573</v>
      </c>
      <c r="J92" s="212">
        <f t="shared" si="44"/>
        <v>51450347</v>
      </c>
      <c r="K92" s="271"/>
      <c r="L92" s="271"/>
      <c r="M92" s="271"/>
    </row>
    <row r="93" spans="2:15" ht="33" customHeight="1">
      <c r="B93" s="277"/>
      <c r="C93" s="277"/>
      <c r="D93" s="176" t="s">
        <v>73</v>
      </c>
      <c r="E93" s="176"/>
      <c r="F93" s="202"/>
      <c r="G93" s="202">
        <f t="shared" si="42"/>
        <v>791846497.46428573</v>
      </c>
      <c r="H93" s="202"/>
      <c r="I93" s="202">
        <f t="shared" si="43"/>
        <v>819824844.46428573</v>
      </c>
      <c r="J93" s="212">
        <f t="shared" si="44"/>
        <v>27978347</v>
      </c>
      <c r="K93" s="271"/>
      <c r="L93" s="271"/>
      <c r="M93" s="271"/>
    </row>
    <row r="94" spans="2:15" ht="33" customHeight="1">
      <c r="B94" s="277"/>
      <c r="C94" s="277"/>
      <c r="D94" s="176" t="s">
        <v>74</v>
      </c>
      <c r="E94" s="176"/>
      <c r="F94" s="202"/>
      <c r="G94" s="202">
        <f t="shared" si="42"/>
        <v>791846497.46428573</v>
      </c>
      <c r="H94" s="202"/>
      <c r="I94" s="202">
        <f t="shared" si="43"/>
        <v>794728844.46428573</v>
      </c>
      <c r="J94" s="212">
        <f t="shared" si="44"/>
        <v>2882347</v>
      </c>
      <c r="K94" s="271"/>
      <c r="L94" s="271"/>
      <c r="M94" s="271"/>
    </row>
    <row r="95" spans="2:15" ht="33" customHeight="1">
      <c r="B95" s="277"/>
      <c r="C95" s="277"/>
      <c r="D95" s="176" t="s">
        <v>75</v>
      </c>
      <c r="E95" s="176"/>
      <c r="F95" s="202"/>
      <c r="G95" s="202">
        <f t="shared" si="42"/>
        <v>791846497.46428573</v>
      </c>
      <c r="H95" s="202"/>
      <c r="I95" s="202">
        <f t="shared" si="43"/>
        <v>847940844.46428573</v>
      </c>
      <c r="J95" s="212">
        <f t="shared" si="44"/>
        <v>56094347</v>
      </c>
      <c r="K95" s="271"/>
      <c r="L95" s="271"/>
      <c r="M95" s="271"/>
    </row>
    <row r="96" spans="2:15" ht="33" customHeight="1">
      <c r="B96" s="277"/>
      <c r="C96" s="277"/>
      <c r="D96" s="176" t="s">
        <v>76</v>
      </c>
      <c r="E96" s="176"/>
      <c r="F96" s="202"/>
      <c r="G96" s="202">
        <f t="shared" si="42"/>
        <v>791846497.46428573</v>
      </c>
      <c r="H96" s="202"/>
      <c r="I96" s="202">
        <f t="shared" si="43"/>
        <v>819012844.46428573</v>
      </c>
      <c r="J96" s="210">
        <f t="shared" si="44"/>
        <v>27166347</v>
      </c>
      <c r="K96" s="271"/>
      <c r="L96" s="271"/>
      <c r="M96" s="271"/>
    </row>
    <row r="97" spans="2:13" ht="32.1" customHeight="1">
      <c r="B97" s="276"/>
      <c r="C97" s="276" t="s">
        <v>77</v>
      </c>
      <c r="D97" s="176" t="s">
        <v>61</v>
      </c>
      <c r="E97" s="131">
        <v>19</v>
      </c>
      <c r="F97" s="202">
        <f>G97/E97</f>
        <v>50316781.684210524</v>
      </c>
      <c r="G97" s="202">
        <f>'11 seats (Hiace)'!H15</f>
        <v>956018852</v>
      </c>
      <c r="H97" s="202">
        <f>I97/E97</f>
        <v>46956135.789473683</v>
      </c>
      <c r="I97" s="202">
        <f>'11 seats (Hiace)'!H30</f>
        <v>892166580</v>
      </c>
      <c r="J97" s="212">
        <f t="shared" si="44"/>
        <v>-63852272</v>
      </c>
      <c r="K97" s="270" t="s">
        <v>78</v>
      </c>
      <c r="L97" s="271"/>
      <c r="M97" s="271"/>
    </row>
    <row r="98" spans="2:13" ht="30" customHeight="1">
      <c r="B98" s="277"/>
      <c r="C98" s="277"/>
      <c r="D98" s="176" t="s">
        <v>63</v>
      </c>
      <c r="E98" s="131">
        <v>13</v>
      </c>
      <c r="F98" s="202">
        <f>G98/E98</f>
        <v>0</v>
      </c>
      <c r="G98" s="202"/>
      <c r="H98" s="202">
        <f>I98/E98</f>
        <v>29888290.769230768</v>
      </c>
      <c r="I98" s="202">
        <f>'11 seats (Hiace)'!T45</f>
        <v>388547780</v>
      </c>
      <c r="J98" s="212">
        <f t="shared" si="44"/>
        <v>388547780</v>
      </c>
      <c r="K98" s="271"/>
      <c r="L98" s="271"/>
      <c r="M98" s="271"/>
    </row>
    <row r="99" spans="2:13" ht="33" customHeight="1">
      <c r="B99" s="277"/>
      <c r="C99" s="277"/>
      <c r="D99" s="162" t="s">
        <v>79</v>
      </c>
      <c r="E99" s="176">
        <v>6</v>
      </c>
      <c r="F99" s="218"/>
      <c r="G99" s="218"/>
      <c r="H99" s="202">
        <v>55697000</v>
      </c>
      <c r="I99" s="202">
        <f>H99*$E$99</f>
        <v>334182000</v>
      </c>
      <c r="J99" s="219"/>
      <c r="K99" s="271"/>
      <c r="L99" s="271"/>
      <c r="M99" s="271"/>
    </row>
    <row r="100" spans="2:13" ht="33" customHeight="1">
      <c r="B100" s="277"/>
      <c r="C100" s="277"/>
      <c r="D100" s="162" t="s">
        <v>80</v>
      </c>
      <c r="E100" s="176">
        <v>6</v>
      </c>
      <c r="F100" s="218"/>
      <c r="G100" s="218"/>
      <c r="H100" s="202">
        <v>51602000</v>
      </c>
      <c r="I100" s="202">
        <f t="shared" ref="I100:I102" si="45">H100*$E$99</f>
        <v>309612000</v>
      </c>
      <c r="J100" s="219"/>
      <c r="K100" s="271"/>
      <c r="L100" s="271"/>
      <c r="M100" s="271"/>
    </row>
    <row r="101" spans="2:13" ht="33" customHeight="1">
      <c r="B101" s="277"/>
      <c r="C101" s="277"/>
      <c r="D101" s="162" t="s">
        <v>81</v>
      </c>
      <c r="E101" s="176">
        <v>6</v>
      </c>
      <c r="F101" s="218"/>
      <c r="G101" s="218"/>
      <c r="H101" s="202">
        <v>48668000</v>
      </c>
      <c r="I101" s="202">
        <f t="shared" si="45"/>
        <v>292008000</v>
      </c>
      <c r="J101" s="219"/>
      <c r="K101" s="271"/>
      <c r="L101" s="271"/>
      <c r="M101" s="271"/>
    </row>
    <row r="102" spans="2:13" ht="33" customHeight="1">
      <c r="B102" s="277"/>
      <c r="C102" s="277"/>
      <c r="D102" s="162" t="s">
        <v>82</v>
      </c>
      <c r="E102" s="176">
        <v>6</v>
      </c>
      <c r="F102" s="218"/>
      <c r="G102" s="218"/>
      <c r="H102" s="202">
        <v>45531000</v>
      </c>
      <c r="I102" s="202">
        <f t="shared" si="45"/>
        <v>273186000</v>
      </c>
      <c r="J102" s="219"/>
      <c r="K102" s="271"/>
      <c r="L102" s="271"/>
      <c r="M102" s="271"/>
    </row>
    <row r="103" spans="2:13" ht="33" customHeight="1">
      <c r="B103" s="277"/>
      <c r="C103" s="277"/>
      <c r="D103" s="162" t="s">
        <v>83</v>
      </c>
      <c r="E103" s="176" t="s">
        <v>84</v>
      </c>
      <c r="F103" s="218"/>
      <c r="G103" s="218"/>
      <c r="H103" s="202">
        <f>I103/E99</f>
        <v>52182500</v>
      </c>
      <c r="I103" s="202">
        <f>H99*3+H101*3</f>
        <v>313095000</v>
      </c>
      <c r="J103" s="219"/>
      <c r="K103" s="271"/>
      <c r="L103" s="271"/>
      <c r="M103" s="271"/>
    </row>
    <row r="104" spans="2:13" ht="33" customHeight="1">
      <c r="B104" s="277"/>
      <c r="C104" s="277"/>
      <c r="D104" s="162" t="s">
        <v>85</v>
      </c>
      <c r="E104" s="176" t="s">
        <v>84</v>
      </c>
      <c r="F104" s="218"/>
      <c r="G104" s="218"/>
      <c r="H104" s="202">
        <f>I104/E99</f>
        <v>48566500</v>
      </c>
      <c r="I104" s="202">
        <f>H100*3+H102*3</f>
        <v>291399000</v>
      </c>
      <c r="J104" s="219"/>
      <c r="K104" s="271"/>
      <c r="L104" s="271"/>
      <c r="M104" s="271"/>
    </row>
    <row r="105" spans="2:13" ht="33" customHeight="1">
      <c r="B105" s="277"/>
      <c r="C105" s="277"/>
      <c r="D105" s="176" t="s">
        <v>71</v>
      </c>
      <c r="E105" s="176"/>
      <c r="F105" s="202"/>
      <c r="G105" s="202">
        <f t="shared" ref="G105:G110" si="46">$G$97</f>
        <v>956018852</v>
      </c>
      <c r="H105" s="202"/>
      <c r="I105" s="202">
        <f>$I$98+I99</f>
        <v>722729780</v>
      </c>
      <c r="J105" s="212">
        <f t="shared" ref="J105:J112" si="47">+I105-G105</f>
        <v>-233289072</v>
      </c>
      <c r="K105" s="271"/>
      <c r="L105" s="271"/>
      <c r="M105" s="271"/>
    </row>
    <row r="106" spans="2:13" ht="33" customHeight="1">
      <c r="B106" s="277"/>
      <c r="C106" s="277"/>
      <c r="D106" s="176" t="s">
        <v>72</v>
      </c>
      <c r="E106" s="176"/>
      <c r="F106" s="202"/>
      <c r="G106" s="202">
        <f t="shared" si="46"/>
        <v>956018852</v>
      </c>
      <c r="H106" s="202"/>
      <c r="I106" s="202">
        <f t="shared" ref="I106:I110" si="48">$I$98+I100</f>
        <v>698159780</v>
      </c>
      <c r="J106" s="212">
        <f t="shared" si="47"/>
        <v>-257859072</v>
      </c>
      <c r="K106" s="271"/>
      <c r="L106" s="271"/>
      <c r="M106" s="271"/>
    </row>
    <row r="107" spans="2:13" ht="33" customHeight="1">
      <c r="B107" s="277"/>
      <c r="C107" s="277"/>
      <c r="D107" s="176" t="s">
        <v>73</v>
      </c>
      <c r="E107" s="176"/>
      <c r="F107" s="202"/>
      <c r="G107" s="202">
        <f t="shared" si="46"/>
        <v>956018852</v>
      </c>
      <c r="H107" s="202"/>
      <c r="I107" s="202">
        <f t="shared" si="48"/>
        <v>680555780</v>
      </c>
      <c r="J107" s="210">
        <f t="shared" si="47"/>
        <v>-275463072</v>
      </c>
      <c r="K107" s="271"/>
      <c r="L107" s="271"/>
      <c r="M107" s="271"/>
    </row>
    <row r="108" spans="2:13" ht="33" customHeight="1">
      <c r="B108" s="277"/>
      <c r="C108" s="277"/>
      <c r="D108" s="176" t="s">
        <v>74</v>
      </c>
      <c r="E108" s="176"/>
      <c r="F108" s="202"/>
      <c r="G108" s="202">
        <f t="shared" si="46"/>
        <v>956018852</v>
      </c>
      <c r="H108" s="202"/>
      <c r="I108" s="202">
        <f t="shared" si="48"/>
        <v>661733780</v>
      </c>
      <c r="J108" s="212">
        <f t="shared" si="47"/>
        <v>-294285072</v>
      </c>
      <c r="K108" s="271"/>
      <c r="L108" s="271"/>
      <c r="M108" s="271"/>
    </row>
    <row r="109" spans="2:13" ht="33" customHeight="1">
      <c r="B109" s="277"/>
      <c r="C109" s="277"/>
      <c r="D109" s="176" t="s">
        <v>75</v>
      </c>
      <c r="E109" s="176"/>
      <c r="F109" s="202"/>
      <c r="G109" s="202">
        <f t="shared" si="46"/>
        <v>956018852</v>
      </c>
      <c r="H109" s="202"/>
      <c r="I109" s="202">
        <f t="shared" si="48"/>
        <v>701642780</v>
      </c>
      <c r="J109" s="212">
        <f t="shared" si="47"/>
        <v>-254376072</v>
      </c>
      <c r="K109" s="271"/>
      <c r="L109" s="271"/>
      <c r="M109" s="271"/>
    </row>
    <row r="110" spans="2:13" ht="33" customHeight="1">
      <c r="B110" s="277"/>
      <c r="C110" s="277"/>
      <c r="D110" s="176" t="s">
        <v>76</v>
      </c>
      <c r="E110" s="176"/>
      <c r="F110" s="202"/>
      <c r="G110" s="202">
        <f t="shared" si="46"/>
        <v>956018852</v>
      </c>
      <c r="H110" s="202"/>
      <c r="I110" s="202">
        <f t="shared" si="48"/>
        <v>679946780</v>
      </c>
      <c r="J110" s="210">
        <f t="shared" si="47"/>
        <v>-276072072</v>
      </c>
      <c r="K110" s="271"/>
      <c r="L110" s="271"/>
      <c r="M110" s="271"/>
    </row>
    <row r="111" spans="2:13" ht="32.1" customHeight="1">
      <c r="B111" s="276"/>
      <c r="C111" s="276" t="s">
        <v>86</v>
      </c>
      <c r="D111" s="176" t="s">
        <v>61</v>
      </c>
      <c r="E111" s="131">
        <v>6</v>
      </c>
      <c r="F111" s="202">
        <f>G111/E111</f>
        <v>46126944.666666664</v>
      </c>
      <c r="G111" s="202">
        <f>'11 seats (Hiace)'!K15</f>
        <v>276761668</v>
      </c>
      <c r="H111" s="202">
        <f>I111/E111</f>
        <v>45594701.111111112</v>
      </c>
      <c r="I111" s="202">
        <f>'11 seats (Hiace)'!K30</f>
        <v>273568206.66666669</v>
      </c>
      <c r="J111" s="212">
        <f t="shared" si="47"/>
        <v>-3193461.3333333135</v>
      </c>
      <c r="K111" s="270" t="s">
        <v>28</v>
      </c>
      <c r="L111" s="271"/>
      <c r="M111" s="271"/>
    </row>
    <row r="112" spans="2:13" ht="30" customHeight="1">
      <c r="B112" s="277"/>
      <c r="C112" s="277"/>
      <c r="D112" s="176" t="s">
        <v>63</v>
      </c>
      <c r="E112" s="131">
        <v>3</v>
      </c>
      <c r="F112" s="202">
        <f>G112/E112</f>
        <v>0</v>
      </c>
      <c r="G112" s="202"/>
      <c r="H112" s="202">
        <f>I112/E112</f>
        <v>35176202.222222216</v>
      </c>
      <c r="I112" s="202">
        <f>'11 seats (Hiace)'!W45</f>
        <v>105528606.66666664</v>
      </c>
      <c r="J112" s="212">
        <f t="shared" si="47"/>
        <v>105528606.66666664</v>
      </c>
      <c r="K112" s="271"/>
      <c r="L112" s="271"/>
      <c r="M112" s="271"/>
    </row>
    <row r="113" spans="2:15" ht="33" customHeight="1">
      <c r="B113" s="277"/>
      <c r="C113" s="277"/>
      <c r="D113" s="162" t="s">
        <v>87</v>
      </c>
      <c r="E113" s="176">
        <v>3</v>
      </c>
      <c r="F113" s="218"/>
      <c r="G113" s="218"/>
      <c r="H113" s="202">
        <v>55697000</v>
      </c>
      <c r="I113" s="202">
        <f>H113*$E$113</f>
        <v>167091000</v>
      </c>
      <c r="J113" s="219"/>
      <c r="K113" s="271"/>
      <c r="L113" s="271"/>
      <c r="M113" s="271"/>
    </row>
    <row r="114" spans="2:15" ht="33" customHeight="1">
      <c r="B114" s="277"/>
      <c r="C114" s="277"/>
      <c r="D114" s="162" t="s">
        <v>88</v>
      </c>
      <c r="E114" s="176">
        <v>3</v>
      </c>
      <c r="F114" s="218"/>
      <c r="G114" s="218"/>
      <c r="H114" s="202">
        <v>51602000</v>
      </c>
      <c r="I114" s="202">
        <f>H114*$E$113</f>
        <v>154806000</v>
      </c>
      <c r="J114" s="219"/>
      <c r="K114" s="271"/>
      <c r="L114" s="271"/>
      <c r="M114" s="271"/>
    </row>
    <row r="115" spans="2:15" ht="33" customHeight="1">
      <c r="B115" s="277"/>
      <c r="C115" s="277"/>
      <c r="D115" s="162" t="s">
        <v>89</v>
      </c>
      <c r="E115" s="176">
        <v>3</v>
      </c>
      <c r="F115" s="218"/>
      <c r="G115" s="218"/>
      <c r="H115" s="202">
        <v>48668000</v>
      </c>
      <c r="I115" s="202">
        <f>H115*$E$113</f>
        <v>146004000</v>
      </c>
      <c r="J115" s="219"/>
      <c r="K115" s="271"/>
      <c r="L115" s="271"/>
      <c r="M115" s="271"/>
    </row>
    <row r="116" spans="2:15" ht="33" customHeight="1">
      <c r="B116" s="277"/>
      <c r="C116" s="277"/>
      <c r="D116" s="162" t="s">
        <v>90</v>
      </c>
      <c r="E116" s="176">
        <v>3</v>
      </c>
      <c r="F116" s="218"/>
      <c r="G116" s="218"/>
      <c r="H116" s="202">
        <v>45531000</v>
      </c>
      <c r="I116" s="202">
        <f>H116*$E$113</f>
        <v>136593000</v>
      </c>
      <c r="J116" s="219"/>
      <c r="K116" s="271"/>
      <c r="L116" s="271"/>
      <c r="M116" s="271"/>
    </row>
    <row r="117" spans="2:15" ht="33" customHeight="1">
      <c r="B117" s="277"/>
      <c r="C117" s="277"/>
      <c r="D117" s="162" t="s">
        <v>91</v>
      </c>
      <c r="E117" s="176" t="s">
        <v>92</v>
      </c>
      <c r="F117" s="218"/>
      <c r="G117" s="218"/>
      <c r="H117" s="202">
        <f>I117/E113</f>
        <v>53354000</v>
      </c>
      <c r="I117" s="202">
        <f>H113*2+H115*1</f>
        <v>160062000</v>
      </c>
      <c r="J117" s="219"/>
      <c r="K117" s="271"/>
      <c r="L117" s="271"/>
      <c r="M117" s="271"/>
    </row>
    <row r="118" spans="2:15" ht="33" customHeight="1">
      <c r="B118" s="277"/>
      <c r="C118" s="277"/>
      <c r="D118" s="162" t="s">
        <v>93</v>
      </c>
      <c r="E118" s="176" t="s">
        <v>92</v>
      </c>
      <c r="F118" s="218"/>
      <c r="G118" s="218"/>
      <c r="H118" s="202">
        <f>I118/4</f>
        <v>37183750</v>
      </c>
      <c r="I118" s="202">
        <f>H114*2+H116*1</f>
        <v>148735000</v>
      </c>
      <c r="J118" s="219"/>
      <c r="K118" s="271"/>
      <c r="L118" s="271"/>
      <c r="M118" s="271"/>
    </row>
    <row r="119" spans="2:15" ht="33" customHeight="1">
      <c r="B119" s="277"/>
      <c r="C119" s="277"/>
      <c r="D119" s="176" t="s">
        <v>71</v>
      </c>
      <c r="E119" s="176"/>
      <c r="F119" s="202"/>
      <c r="G119" s="202">
        <f t="shared" ref="G119:G124" si="49">$G$111</f>
        <v>276761668</v>
      </c>
      <c r="H119" s="202"/>
      <c r="I119" s="202">
        <f>$I$112+I113</f>
        <v>272619606.66666663</v>
      </c>
      <c r="J119" s="212">
        <f t="shared" ref="J119:J127" si="50">+I119-G119</f>
        <v>-4142061.3333333731</v>
      </c>
      <c r="K119" s="271"/>
      <c r="L119" s="271"/>
      <c r="M119" s="271"/>
    </row>
    <row r="120" spans="2:15" ht="33" customHeight="1">
      <c r="B120" s="277"/>
      <c r="C120" s="277"/>
      <c r="D120" s="176" t="s">
        <v>72</v>
      </c>
      <c r="E120" s="176"/>
      <c r="F120" s="202"/>
      <c r="G120" s="202">
        <f t="shared" si="49"/>
        <v>276761668</v>
      </c>
      <c r="H120" s="202"/>
      <c r="I120" s="202">
        <f t="shared" ref="I120:I124" si="51">$I$112+I114</f>
        <v>260334606.66666663</v>
      </c>
      <c r="J120" s="212">
        <f t="shared" si="50"/>
        <v>-16427061.333333373</v>
      </c>
      <c r="K120" s="271"/>
      <c r="L120" s="271"/>
      <c r="M120" s="271"/>
    </row>
    <row r="121" spans="2:15" ht="33" customHeight="1">
      <c r="B121" s="277"/>
      <c r="C121" s="277"/>
      <c r="D121" s="176" t="s">
        <v>73</v>
      </c>
      <c r="E121" s="176"/>
      <c r="F121" s="202"/>
      <c r="G121" s="202">
        <f t="shared" si="49"/>
        <v>276761668</v>
      </c>
      <c r="H121" s="202"/>
      <c r="I121" s="202">
        <f t="shared" si="51"/>
        <v>251532606.66666663</v>
      </c>
      <c r="J121" s="210">
        <f t="shared" si="50"/>
        <v>-25229061.333333373</v>
      </c>
      <c r="K121" s="271"/>
      <c r="L121" s="271"/>
      <c r="M121" s="271"/>
    </row>
    <row r="122" spans="2:15" ht="33" customHeight="1">
      <c r="B122" s="277"/>
      <c r="C122" s="277"/>
      <c r="D122" s="176" t="s">
        <v>74</v>
      </c>
      <c r="E122" s="176"/>
      <c r="F122" s="202"/>
      <c r="G122" s="202">
        <f t="shared" si="49"/>
        <v>276761668</v>
      </c>
      <c r="H122" s="202"/>
      <c r="I122" s="202">
        <f t="shared" si="51"/>
        <v>242121606.66666663</v>
      </c>
      <c r="J122" s="212">
        <f t="shared" si="50"/>
        <v>-34640061.333333373</v>
      </c>
      <c r="K122" s="271"/>
      <c r="L122" s="271"/>
      <c r="M122" s="271"/>
    </row>
    <row r="123" spans="2:15" ht="33" customHeight="1">
      <c r="B123" s="277"/>
      <c r="C123" s="277"/>
      <c r="D123" s="176" t="s">
        <v>75</v>
      </c>
      <c r="E123" s="176"/>
      <c r="F123" s="202"/>
      <c r="G123" s="202">
        <f t="shared" si="49"/>
        <v>276761668</v>
      </c>
      <c r="H123" s="202"/>
      <c r="I123" s="202">
        <f t="shared" si="51"/>
        <v>265590606.66666663</v>
      </c>
      <c r="J123" s="212">
        <f t="shared" si="50"/>
        <v>-11171061.333333373</v>
      </c>
      <c r="K123" s="271"/>
      <c r="L123" s="271"/>
      <c r="M123" s="271"/>
    </row>
    <row r="124" spans="2:15" ht="33" customHeight="1">
      <c r="B124" s="277"/>
      <c r="C124" s="277"/>
      <c r="D124" s="176" t="s">
        <v>76</v>
      </c>
      <c r="E124" s="176"/>
      <c r="F124" s="202"/>
      <c r="G124" s="202">
        <f t="shared" si="49"/>
        <v>276761668</v>
      </c>
      <c r="H124" s="202"/>
      <c r="I124" s="202">
        <f t="shared" si="51"/>
        <v>254263606.66666663</v>
      </c>
      <c r="J124" s="210">
        <f t="shared" si="50"/>
        <v>-22498061.333333373</v>
      </c>
      <c r="K124" s="271"/>
      <c r="L124" s="271"/>
      <c r="M124" s="271"/>
    </row>
    <row r="125" spans="2:15" ht="33" customHeight="1">
      <c r="B125" s="277"/>
      <c r="C125" s="276" t="s">
        <v>94</v>
      </c>
      <c r="D125" s="176" t="s">
        <v>10</v>
      </c>
      <c r="E125" s="131">
        <v>2</v>
      </c>
      <c r="F125" s="202">
        <f>G125/E125</f>
        <v>42076167</v>
      </c>
      <c r="G125" s="202">
        <f>'11 seats (Hiace)'!E89</f>
        <v>84152334</v>
      </c>
      <c r="H125" s="202">
        <f>I125/E125</f>
        <v>41360200</v>
      </c>
      <c r="I125" s="202">
        <f>'11 seats (Hiace)'!E133</f>
        <v>82720400</v>
      </c>
      <c r="J125" s="212">
        <f t="shared" si="50"/>
        <v>-1431934</v>
      </c>
      <c r="K125" s="271"/>
      <c r="L125" s="271"/>
      <c r="M125" s="271"/>
    </row>
    <row r="126" spans="2:15" ht="33" customHeight="1">
      <c r="B126" s="277"/>
      <c r="C126" s="277"/>
      <c r="D126" s="176" t="s">
        <v>15</v>
      </c>
      <c r="E126" s="131">
        <v>1</v>
      </c>
      <c r="F126" s="202">
        <f>'11 seats (Hiace)'!H89</f>
        <v>65468368</v>
      </c>
      <c r="G126" s="202">
        <f>+F126*E126</f>
        <v>65468368</v>
      </c>
      <c r="H126" s="202">
        <f>'11 seats (Hiace)'!H133</f>
        <v>50805600</v>
      </c>
      <c r="I126" s="202">
        <f>+H126*E126</f>
        <v>50805600</v>
      </c>
      <c r="J126" s="212">
        <f t="shared" si="50"/>
        <v>-14662768</v>
      </c>
      <c r="K126" s="271"/>
      <c r="L126" s="271"/>
      <c r="M126" s="271"/>
    </row>
    <row r="127" spans="2:15" ht="33" customHeight="1">
      <c r="B127" s="277"/>
      <c r="C127" s="278"/>
      <c r="D127" s="176" t="s">
        <v>17</v>
      </c>
      <c r="E127" s="131">
        <v>1</v>
      </c>
      <c r="F127" s="202">
        <f>'11 seats (Hiace)'!K89</f>
        <v>65021968</v>
      </c>
      <c r="G127" s="202">
        <f>+F127*E127</f>
        <v>65021968</v>
      </c>
      <c r="H127" s="202">
        <f>'11 seats (Hiace)'!K133</f>
        <v>47993000</v>
      </c>
      <c r="I127" s="202">
        <f>+H127*E127</f>
        <v>47993000</v>
      </c>
      <c r="J127" s="212">
        <f t="shared" si="50"/>
        <v>-17028968</v>
      </c>
      <c r="K127" s="271"/>
      <c r="L127" s="271"/>
      <c r="M127" s="271"/>
    </row>
    <row r="128" spans="2:15" ht="33" customHeight="1">
      <c r="B128" s="278"/>
      <c r="C128" s="162"/>
      <c r="D128" s="194" t="s">
        <v>48</v>
      </c>
      <c r="E128" s="178">
        <f t="shared" ref="E128:J128" si="52">SUM(E85:E127)</f>
        <v>113</v>
      </c>
      <c r="F128" s="214">
        <f t="shared" si="52"/>
        <v>269010229.35087717</v>
      </c>
      <c r="G128" s="214">
        <f t="shared" si="52"/>
        <v>13595185294.785713</v>
      </c>
      <c r="H128" s="214">
        <f t="shared" si="52"/>
        <v>1177059879.8920379</v>
      </c>
      <c r="I128" s="214">
        <f t="shared" si="52"/>
        <v>17540219560.119045</v>
      </c>
      <c r="J128" s="217">
        <f t="shared" si="52"/>
        <v>-1061762734.6666669</v>
      </c>
      <c r="K128" s="273"/>
      <c r="L128" s="273"/>
      <c r="M128" s="273"/>
      <c r="O128" s="21"/>
    </row>
    <row r="131" spans="2:10" ht="23.1" customHeight="1">
      <c r="B131" s="300" t="s">
        <v>95</v>
      </c>
      <c r="C131" s="300" t="s">
        <v>96</v>
      </c>
      <c r="D131" s="236" t="s">
        <v>97</v>
      </c>
      <c r="E131" s="236" t="s">
        <v>98</v>
      </c>
      <c r="F131" s="236" t="s">
        <v>99</v>
      </c>
      <c r="G131" s="236" t="s">
        <v>100</v>
      </c>
      <c r="H131" s="236" t="s">
        <v>101</v>
      </c>
      <c r="I131" s="236" t="s">
        <v>102</v>
      </c>
      <c r="J131" s="236" t="s">
        <v>103</v>
      </c>
    </row>
    <row r="132" spans="2:10" ht="57.95" customHeight="1">
      <c r="B132" s="301"/>
      <c r="C132" s="301"/>
      <c r="D132" s="168" t="s">
        <v>104</v>
      </c>
      <c r="E132" s="237" t="s">
        <v>105</v>
      </c>
      <c r="F132" s="237" t="s">
        <v>106</v>
      </c>
      <c r="G132" s="237" t="s">
        <v>107</v>
      </c>
      <c r="H132" s="237" t="s">
        <v>108</v>
      </c>
      <c r="I132" s="237" t="s">
        <v>109</v>
      </c>
      <c r="J132" s="237" t="s">
        <v>110</v>
      </c>
    </row>
    <row r="133" spans="2:10" ht="28.5" customHeight="1">
      <c r="B133" s="168" t="s">
        <v>10</v>
      </c>
      <c r="C133" s="238">
        <f>+$D$164</f>
        <v>1345458283.4642859</v>
      </c>
      <c r="D133" s="239">
        <f>+D165</f>
        <v>1304533314.4642859</v>
      </c>
      <c r="E133" s="249">
        <f>+$D$133</f>
        <v>1304533314.4642859</v>
      </c>
      <c r="F133" s="249">
        <f t="shared" ref="F133:J133" si="53">+$D$133</f>
        <v>1304533314.4642859</v>
      </c>
      <c r="G133" s="249">
        <f t="shared" si="53"/>
        <v>1304533314.4642859</v>
      </c>
      <c r="H133" s="249">
        <f t="shared" si="53"/>
        <v>1304533314.4642859</v>
      </c>
      <c r="I133" s="249">
        <f t="shared" si="53"/>
        <v>1304533314.4642859</v>
      </c>
      <c r="J133" s="249">
        <f t="shared" si="53"/>
        <v>1304533314.4642859</v>
      </c>
    </row>
    <row r="134" spans="2:10" ht="28.5" customHeight="1">
      <c r="B134" s="168" t="s">
        <v>15</v>
      </c>
      <c r="C134" s="238">
        <f>+$D$167</f>
        <v>1335895977</v>
      </c>
      <c r="D134" s="239">
        <f>+D168</f>
        <v>1284219740</v>
      </c>
      <c r="E134" s="239">
        <f t="shared" ref="E134:J134" si="54">+E168</f>
        <v>1114782940</v>
      </c>
      <c r="F134" s="239">
        <f t="shared" si="54"/>
        <v>1090212940</v>
      </c>
      <c r="G134" s="239">
        <f t="shared" si="54"/>
        <v>1072608940</v>
      </c>
      <c r="H134" s="239">
        <f t="shared" si="54"/>
        <v>1053786940</v>
      </c>
      <c r="I134" s="239">
        <f t="shared" si="54"/>
        <v>1093695940</v>
      </c>
      <c r="J134" s="239">
        <f t="shared" si="54"/>
        <v>1071999940</v>
      </c>
    </row>
    <row r="135" spans="2:10" ht="28.5" customHeight="1">
      <c r="B135" s="168" t="s">
        <v>17</v>
      </c>
      <c r="C135" s="238">
        <f>+$D$170</f>
        <v>651761479</v>
      </c>
      <c r="D135" s="239">
        <f>+D171</f>
        <v>650588468</v>
      </c>
      <c r="E135" s="239">
        <f t="shared" ref="E135:J135" si="55">+E171</f>
        <v>649639868</v>
      </c>
      <c r="F135" s="239">
        <f t="shared" si="55"/>
        <v>637354868</v>
      </c>
      <c r="G135" s="239">
        <f t="shared" si="55"/>
        <v>628552868</v>
      </c>
      <c r="H135" s="239">
        <f t="shared" si="55"/>
        <v>619141868</v>
      </c>
      <c r="I135" s="239">
        <f t="shared" si="55"/>
        <v>642610868</v>
      </c>
      <c r="J135" s="239">
        <f t="shared" si="55"/>
        <v>631283868</v>
      </c>
    </row>
    <row r="136" spans="2:10" ht="28.5" customHeight="1">
      <c r="B136" s="168" t="s">
        <v>111</v>
      </c>
      <c r="C136" s="238">
        <f>+$C$133+$C$134+$C$135</f>
        <v>3333115739.4642859</v>
      </c>
      <c r="D136" s="238">
        <f t="shared" ref="D136:J136" si="56">+D133+D134+D135</f>
        <v>3239341522.4642859</v>
      </c>
      <c r="E136" s="238">
        <f t="shared" si="56"/>
        <v>3068956122.4642859</v>
      </c>
      <c r="F136" s="238">
        <f t="shared" si="56"/>
        <v>3032101122.4642859</v>
      </c>
      <c r="G136" s="238">
        <f t="shared" si="56"/>
        <v>3005695122.4642859</v>
      </c>
      <c r="H136" s="238">
        <f t="shared" si="56"/>
        <v>2977462122.4642859</v>
      </c>
      <c r="I136" s="238">
        <f t="shared" si="56"/>
        <v>3040840122.4642859</v>
      </c>
      <c r="J136" s="238">
        <f t="shared" si="56"/>
        <v>3007817122.4642859</v>
      </c>
    </row>
    <row r="137" spans="2:10" ht="28.5" customHeight="1">
      <c r="B137" s="168" t="s">
        <v>43</v>
      </c>
      <c r="C137" s="168"/>
      <c r="D137" s="239">
        <f>+D136-$C$136</f>
        <v>-93774217</v>
      </c>
      <c r="E137" s="239">
        <f t="shared" ref="E137:J137" si="57">+E136-$C$136</f>
        <v>-264159617</v>
      </c>
      <c r="F137" s="239">
        <f t="shared" si="57"/>
        <v>-301014617</v>
      </c>
      <c r="G137" s="239">
        <f t="shared" si="57"/>
        <v>-327420617</v>
      </c>
      <c r="H137" s="239">
        <f t="shared" si="57"/>
        <v>-355653617</v>
      </c>
      <c r="I137" s="239">
        <f t="shared" si="57"/>
        <v>-292275617</v>
      </c>
      <c r="J137" s="239">
        <f t="shared" si="57"/>
        <v>-325298617</v>
      </c>
    </row>
    <row r="138" spans="2:10" ht="28.5" customHeight="1">
      <c r="B138" s="168"/>
      <c r="C138" s="168" t="s">
        <v>112</v>
      </c>
      <c r="D138" s="239">
        <f>+D137/23000</f>
        <v>-4077.1398695652174</v>
      </c>
      <c r="E138" s="239">
        <f t="shared" ref="E138:J138" si="58">+E137/23000</f>
        <v>-11485.200739130434</v>
      </c>
      <c r="F138" s="239">
        <f t="shared" si="58"/>
        <v>-13087.59204347826</v>
      </c>
      <c r="G138" s="239">
        <f t="shared" si="58"/>
        <v>-14235.679</v>
      </c>
      <c r="H138" s="239">
        <f t="shared" si="58"/>
        <v>-15463.200739130434</v>
      </c>
      <c r="I138" s="239">
        <f t="shared" si="58"/>
        <v>-12707.63552173913</v>
      </c>
      <c r="J138" s="239">
        <f t="shared" si="58"/>
        <v>-14143.418130434782</v>
      </c>
    </row>
    <row r="142" spans="2:10">
      <c r="B142" s="300" t="s">
        <v>95</v>
      </c>
      <c r="C142" s="300" t="s">
        <v>96</v>
      </c>
      <c r="D142" s="236" t="s">
        <v>97</v>
      </c>
      <c r="E142" s="236" t="s">
        <v>98</v>
      </c>
      <c r="F142" s="236" t="s">
        <v>99</v>
      </c>
      <c r="G142" s="236" t="s">
        <v>100</v>
      </c>
      <c r="H142" s="236" t="s">
        <v>101</v>
      </c>
      <c r="I142" s="236" t="s">
        <v>102</v>
      </c>
      <c r="J142" s="236" t="s">
        <v>103</v>
      </c>
    </row>
    <row r="143" spans="2:10" ht="45">
      <c r="B143" s="301"/>
      <c r="C143" s="301"/>
      <c r="D143" s="168" t="s">
        <v>104</v>
      </c>
      <c r="E143" s="237" t="s">
        <v>105</v>
      </c>
      <c r="F143" s="237" t="s">
        <v>106</v>
      </c>
      <c r="G143" s="237" t="s">
        <v>107</v>
      </c>
      <c r="H143" s="237" t="s">
        <v>108</v>
      </c>
      <c r="I143" s="237" t="s">
        <v>109</v>
      </c>
      <c r="J143" s="237" t="s">
        <v>110</v>
      </c>
    </row>
    <row r="144" spans="2:10" ht="29.25" customHeight="1">
      <c r="B144" s="168" t="s">
        <v>10</v>
      </c>
      <c r="C144" s="238">
        <f>+$D$164</f>
        <v>1345458283.4642859</v>
      </c>
      <c r="D144" s="239">
        <f>+D182</f>
        <v>1271252878.4642859</v>
      </c>
      <c r="E144" s="249">
        <f>+$D$144</f>
        <v>1271252878.4642859</v>
      </c>
      <c r="F144" s="249">
        <f t="shared" ref="F144:J144" si="59">+$D$144</f>
        <v>1271252878.4642859</v>
      </c>
      <c r="G144" s="249">
        <f t="shared" si="59"/>
        <v>1271252878.4642859</v>
      </c>
      <c r="H144" s="249">
        <f t="shared" si="59"/>
        <v>1271252878.4642859</v>
      </c>
      <c r="I144" s="249">
        <f t="shared" si="59"/>
        <v>1271252878.4642859</v>
      </c>
      <c r="J144" s="249">
        <f t="shared" si="59"/>
        <v>1271252878.4642859</v>
      </c>
    </row>
    <row r="145" spans="2:10" ht="29.25" customHeight="1">
      <c r="B145" s="168" t="s">
        <v>15</v>
      </c>
      <c r="C145" s="238">
        <f>+$D$167</f>
        <v>1335895977</v>
      </c>
      <c r="D145" s="239">
        <f>+D185</f>
        <v>1263948531.9682541</v>
      </c>
      <c r="E145" s="239">
        <f t="shared" ref="E145:J145" si="60">+E185</f>
        <v>1094511731.9682541</v>
      </c>
      <c r="F145" s="239">
        <f t="shared" si="60"/>
        <v>1069941731.968254</v>
      </c>
      <c r="G145" s="239">
        <f t="shared" si="60"/>
        <v>1052337731.968254</v>
      </c>
      <c r="H145" s="239">
        <f t="shared" si="60"/>
        <v>1033515731.968254</v>
      </c>
      <c r="I145" s="239">
        <f t="shared" si="60"/>
        <v>1073424731.968254</v>
      </c>
      <c r="J145" s="239">
        <f t="shared" si="60"/>
        <v>1051728731.968254</v>
      </c>
    </row>
    <row r="146" spans="2:10" ht="29.25" customHeight="1">
      <c r="B146" s="168" t="s">
        <v>17</v>
      </c>
      <c r="C146" s="238">
        <f>+$D$170</f>
        <v>651761479</v>
      </c>
      <c r="D146" s="239">
        <f>+D188</f>
        <v>631468718.66666675</v>
      </c>
      <c r="E146" s="239">
        <f t="shared" ref="E146:J146" si="61">+E188</f>
        <v>630520118.66666663</v>
      </c>
      <c r="F146" s="239">
        <f t="shared" si="61"/>
        <v>618235118.66666663</v>
      </c>
      <c r="G146" s="239">
        <f t="shared" si="61"/>
        <v>609433118.66666663</v>
      </c>
      <c r="H146" s="239">
        <f t="shared" si="61"/>
        <v>600022118.66666663</v>
      </c>
      <c r="I146" s="239">
        <f t="shared" si="61"/>
        <v>623491118.66666663</v>
      </c>
      <c r="J146" s="239">
        <f t="shared" si="61"/>
        <v>612164118.66666663</v>
      </c>
    </row>
    <row r="147" spans="2:10" ht="29.25" customHeight="1">
      <c r="B147" s="168" t="s">
        <v>111</v>
      </c>
      <c r="C147" s="238">
        <f>+$C$133+$C$134+$C$135</f>
        <v>3333115739.4642859</v>
      </c>
      <c r="D147" s="238">
        <f>+D144+D145+D146</f>
        <v>3166670129.0992069</v>
      </c>
      <c r="E147" s="238">
        <f t="shared" ref="E147" si="62">+E144+E145+E146</f>
        <v>2996284729.0992064</v>
      </c>
      <c r="F147" s="238">
        <f t="shared" ref="F147" si="63">+F144+F145+F146</f>
        <v>2959429729.0992064</v>
      </c>
      <c r="G147" s="238">
        <f t="shared" ref="G147" si="64">+G144+G145+G146</f>
        <v>2933023729.0992064</v>
      </c>
      <c r="H147" s="238">
        <f t="shared" ref="H147" si="65">+H144+H145+H146</f>
        <v>2904790729.0992064</v>
      </c>
      <c r="I147" s="238">
        <f t="shared" ref="I147" si="66">+I144+I145+I146</f>
        <v>2968168729.0992064</v>
      </c>
      <c r="J147" s="238">
        <f t="shared" ref="J147" si="67">+J144+J145+J146</f>
        <v>2935145729.0992064</v>
      </c>
    </row>
    <row r="148" spans="2:10" ht="29.25" customHeight="1">
      <c r="B148" s="168" t="s">
        <v>43</v>
      </c>
      <c r="C148" s="168"/>
      <c r="D148" s="239">
        <f>+D147-$C$136</f>
        <v>-166445610.36507893</v>
      </c>
      <c r="E148" s="239">
        <f t="shared" ref="E148" si="68">+E147-$C$136</f>
        <v>-336831010.3650794</v>
      </c>
      <c r="F148" s="239">
        <f t="shared" ref="F148" si="69">+F147-$C$136</f>
        <v>-373686010.3650794</v>
      </c>
      <c r="G148" s="239">
        <f t="shared" ref="G148" si="70">+G147-$C$136</f>
        <v>-400092010.3650794</v>
      </c>
      <c r="H148" s="239">
        <f t="shared" ref="H148" si="71">+H147-$C$136</f>
        <v>-428325010.3650794</v>
      </c>
      <c r="I148" s="239">
        <f t="shared" ref="I148" si="72">+I147-$C$136</f>
        <v>-364947010.3650794</v>
      </c>
      <c r="J148" s="239">
        <f t="shared" ref="J148" si="73">+J147-$C$136</f>
        <v>-397970010.3650794</v>
      </c>
    </row>
    <row r="149" spans="2:10" ht="29.25" customHeight="1">
      <c r="B149" s="168"/>
      <c r="C149" s="168" t="s">
        <v>112</v>
      </c>
      <c r="D149" s="239">
        <f>+D148/23000</f>
        <v>-7236.7656680469099</v>
      </c>
      <c r="E149" s="239">
        <f t="shared" ref="E149" si="74">+E148/23000</f>
        <v>-14644.826537612147</v>
      </c>
      <c r="F149" s="239">
        <f t="shared" ref="F149" si="75">+F148/23000</f>
        <v>-16247.217841959973</v>
      </c>
      <c r="G149" s="239">
        <f t="shared" ref="G149" si="76">+G148/23000</f>
        <v>-17395.304798481713</v>
      </c>
      <c r="H149" s="239">
        <f t="shared" ref="H149" si="77">+H148/23000</f>
        <v>-18622.826537612149</v>
      </c>
      <c r="I149" s="239">
        <f t="shared" ref="I149" si="78">+I148/23000</f>
        <v>-15867.261320220843</v>
      </c>
      <c r="J149" s="239">
        <f t="shared" ref="J149" si="79">+J148/23000</f>
        <v>-17303.043928916497</v>
      </c>
    </row>
    <row r="162" spans="2:11" ht="23.1" customHeight="1">
      <c r="B162" s="131"/>
      <c r="C162" s="131"/>
      <c r="D162" s="201" t="s">
        <v>97</v>
      </c>
      <c r="E162" s="201" t="s">
        <v>98</v>
      </c>
      <c r="F162" s="201" t="s">
        <v>99</v>
      </c>
      <c r="G162" s="201" t="s">
        <v>100</v>
      </c>
      <c r="H162" s="201" t="s">
        <v>101</v>
      </c>
      <c r="I162" s="201" t="s">
        <v>102</v>
      </c>
      <c r="J162" s="201" t="s">
        <v>103</v>
      </c>
      <c r="K162" s="248"/>
    </row>
    <row r="163" spans="2:11" ht="57.95" customHeight="1">
      <c r="B163" s="201"/>
      <c r="C163" s="131"/>
      <c r="D163" s="229" t="s">
        <v>113</v>
      </c>
      <c r="E163" s="213" t="s">
        <v>105</v>
      </c>
      <c r="F163" s="213" t="s">
        <v>106</v>
      </c>
      <c r="G163" s="213" t="s">
        <v>107</v>
      </c>
      <c r="H163" s="213" t="s">
        <v>108</v>
      </c>
      <c r="I163" s="213" t="s">
        <v>114</v>
      </c>
      <c r="J163" s="223" t="s">
        <v>115</v>
      </c>
      <c r="K163" s="222" t="s">
        <v>116</v>
      </c>
    </row>
    <row r="164" spans="2:11" s="161" customFormat="1" ht="23.1" customHeight="1">
      <c r="B164" s="282" t="s">
        <v>10</v>
      </c>
      <c r="C164" s="131" t="s">
        <v>3</v>
      </c>
      <c r="D164" s="225">
        <f>$G$50+$G$51+$G$59+$G$83+$G$125</f>
        <v>1345458283.4642859</v>
      </c>
      <c r="E164" s="225">
        <f t="shared" ref="E164:J164" si="80">$D$164</f>
        <v>1345458283.4642859</v>
      </c>
      <c r="F164" s="225">
        <f t="shared" si="80"/>
        <v>1345458283.4642859</v>
      </c>
      <c r="G164" s="225">
        <f t="shared" si="80"/>
        <v>1345458283.4642859</v>
      </c>
      <c r="H164" s="225">
        <f t="shared" si="80"/>
        <v>1345458283.4642859</v>
      </c>
      <c r="I164" s="225">
        <f t="shared" si="80"/>
        <v>1345458283.4642859</v>
      </c>
      <c r="J164" s="225">
        <f t="shared" si="80"/>
        <v>1345458283.4642859</v>
      </c>
      <c r="K164" s="231"/>
    </row>
    <row r="165" spans="2:11" s="161" customFormat="1" ht="23.1" customHeight="1">
      <c r="B165" s="283"/>
      <c r="C165" s="131" t="s">
        <v>42</v>
      </c>
      <c r="D165" s="225">
        <f>$I$50+$I$51+$I$59+$I$83+$I$125</f>
        <v>1304533314.4642859</v>
      </c>
      <c r="E165" s="225">
        <f>+$D$165</f>
        <v>1304533314.4642859</v>
      </c>
      <c r="F165" s="225">
        <f t="shared" ref="F165:J165" si="81">+$D$165</f>
        <v>1304533314.4642859</v>
      </c>
      <c r="G165" s="225">
        <f t="shared" si="81"/>
        <v>1304533314.4642859</v>
      </c>
      <c r="H165" s="225">
        <f t="shared" si="81"/>
        <v>1304533314.4642859</v>
      </c>
      <c r="I165" s="225">
        <f t="shared" si="81"/>
        <v>1304533314.4642859</v>
      </c>
      <c r="J165" s="225">
        <f t="shared" si="81"/>
        <v>1304533314.4642859</v>
      </c>
      <c r="K165" s="231"/>
    </row>
    <row r="166" spans="2:11" s="161" customFormat="1" ht="23.1" customHeight="1">
      <c r="B166" s="283"/>
      <c r="C166" s="131" t="s">
        <v>43</v>
      </c>
      <c r="D166" s="225">
        <f t="shared" ref="D166:J166" si="82">D165-D164</f>
        <v>-40924969</v>
      </c>
      <c r="E166" s="225">
        <f t="shared" si="82"/>
        <v>-40924969</v>
      </c>
      <c r="F166" s="225">
        <f t="shared" si="82"/>
        <v>-40924969</v>
      </c>
      <c r="G166" s="225">
        <f t="shared" si="82"/>
        <v>-40924969</v>
      </c>
      <c r="H166" s="225">
        <f t="shared" si="82"/>
        <v>-40924969</v>
      </c>
      <c r="I166" s="225">
        <f t="shared" si="82"/>
        <v>-40924969</v>
      </c>
      <c r="J166" s="225">
        <f t="shared" si="82"/>
        <v>-40924969</v>
      </c>
      <c r="K166" s="231"/>
    </row>
    <row r="167" spans="2:11" s="161" customFormat="1" ht="23.1" customHeight="1">
      <c r="B167" s="282" t="s">
        <v>15</v>
      </c>
      <c r="C167" s="131" t="s">
        <v>3</v>
      </c>
      <c r="D167" s="225">
        <f>$G$56+$G$60+$G$63+$G$97+$G$126</f>
        <v>1335895977</v>
      </c>
      <c r="E167" s="225">
        <f t="shared" ref="E167:J167" si="83">$D$167</f>
        <v>1335895977</v>
      </c>
      <c r="F167" s="225">
        <f t="shared" si="83"/>
        <v>1335895977</v>
      </c>
      <c r="G167" s="225">
        <f t="shared" si="83"/>
        <v>1335895977</v>
      </c>
      <c r="H167" s="225">
        <f t="shared" si="83"/>
        <v>1335895977</v>
      </c>
      <c r="I167" s="225">
        <f t="shared" si="83"/>
        <v>1335895977</v>
      </c>
      <c r="J167" s="225">
        <f t="shared" si="83"/>
        <v>1335895977</v>
      </c>
      <c r="K167" s="231"/>
    </row>
    <row r="168" spans="2:11" s="161" customFormat="1" ht="23.1" customHeight="1">
      <c r="B168" s="283"/>
      <c r="C168" s="131" t="s">
        <v>42</v>
      </c>
      <c r="D168" s="225">
        <f>$I$52+$I$60+$I$63+I97+$I$126</f>
        <v>1284219740</v>
      </c>
      <c r="E168" s="225">
        <f>$I$52+$I$60+$I$63+I105+$I$126</f>
        <v>1114782940</v>
      </c>
      <c r="F168" s="225">
        <f>$I$52+$I$60+$I$63+I106+$I$126</f>
        <v>1090212940</v>
      </c>
      <c r="G168" s="225">
        <f>$I$52+$I$60+$I$63+I107+$I$126</f>
        <v>1072608940</v>
      </c>
      <c r="H168" s="225">
        <f>$I$52+$I$60+$I$63+I108+$I$126</f>
        <v>1053786940</v>
      </c>
      <c r="I168" s="225">
        <f>$I$52+$I$60+$I$63+I109+$I$126</f>
        <v>1093695940</v>
      </c>
      <c r="J168" s="225">
        <f>$I$52+$I$60+$I$63+I110+$I$126</f>
        <v>1071999940</v>
      </c>
      <c r="K168" s="231"/>
    </row>
    <row r="169" spans="2:11" s="161" customFormat="1" ht="23.1" customHeight="1">
      <c r="B169" s="283"/>
      <c r="C169" s="131" t="s">
        <v>43</v>
      </c>
      <c r="D169" s="225">
        <f t="shared" ref="D169:J169" si="84">D168-D167</f>
        <v>-51676237</v>
      </c>
      <c r="E169" s="225">
        <f t="shared" si="84"/>
        <v>-221113037</v>
      </c>
      <c r="F169" s="225">
        <f t="shared" si="84"/>
        <v>-245683037</v>
      </c>
      <c r="G169" s="225">
        <f t="shared" si="84"/>
        <v>-263287037</v>
      </c>
      <c r="H169" s="225">
        <f t="shared" si="84"/>
        <v>-282109037</v>
      </c>
      <c r="I169" s="225">
        <f t="shared" si="84"/>
        <v>-242200037</v>
      </c>
      <c r="J169" s="225">
        <f t="shared" si="84"/>
        <v>-263896037</v>
      </c>
      <c r="K169" s="231"/>
    </row>
    <row r="170" spans="2:11" s="161" customFormat="1" ht="23.1" customHeight="1">
      <c r="B170" s="282" t="s">
        <v>17</v>
      </c>
      <c r="C170" s="131" t="s">
        <v>3</v>
      </c>
      <c r="D170" s="225">
        <f>$G$53+$G$61+$G$62+$G$111+$G$127</f>
        <v>651761479</v>
      </c>
      <c r="E170" s="225">
        <f t="shared" ref="E170:J170" si="85">$D$170</f>
        <v>651761479</v>
      </c>
      <c r="F170" s="225">
        <f t="shared" si="85"/>
        <v>651761479</v>
      </c>
      <c r="G170" s="225">
        <f t="shared" si="85"/>
        <v>651761479</v>
      </c>
      <c r="H170" s="225">
        <f t="shared" si="85"/>
        <v>651761479</v>
      </c>
      <c r="I170" s="225">
        <f t="shared" si="85"/>
        <v>651761479</v>
      </c>
      <c r="J170" s="225">
        <f t="shared" si="85"/>
        <v>651761479</v>
      </c>
      <c r="K170" s="231"/>
    </row>
    <row r="171" spans="2:11" s="161" customFormat="1" ht="23.1" customHeight="1">
      <c r="B171" s="283"/>
      <c r="C171" s="131" t="s">
        <v>42</v>
      </c>
      <c r="D171" s="225">
        <f>$I$53+$I$61+$I$62+I111+$I$127</f>
        <v>650588468</v>
      </c>
      <c r="E171" s="225">
        <f>$I$53+$I$61+$I$62+I119+$I$127</f>
        <v>649639868</v>
      </c>
      <c r="F171" s="225">
        <f>$I$53+$I$61+$I$62+I120+$I$127</f>
        <v>637354868</v>
      </c>
      <c r="G171" s="225">
        <f>$I$53+$I$61+$I$62+I121+$I$127</f>
        <v>628552868</v>
      </c>
      <c r="H171" s="225">
        <f>$I$53+$I$61+$I$62+I122+$I$127</f>
        <v>619141868</v>
      </c>
      <c r="I171" s="225">
        <f>$I$53+$I$61+$I$62+I123+$I$127</f>
        <v>642610868</v>
      </c>
      <c r="J171" s="225">
        <f>$I$53+$I$61+$I$62+I124+$I$127</f>
        <v>631283868</v>
      </c>
      <c r="K171" s="231"/>
    </row>
    <row r="172" spans="2:11" s="161" customFormat="1" ht="23.1" customHeight="1">
      <c r="B172" s="283"/>
      <c r="C172" s="131" t="s">
        <v>43</v>
      </c>
      <c r="D172" s="225">
        <f t="shared" ref="D172:J172" si="86">D171-D170</f>
        <v>-1173011</v>
      </c>
      <c r="E172" s="225">
        <f t="shared" si="86"/>
        <v>-2121611</v>
      </c>
      <c r="F172" s="225">
        <f t="shared" si="86"/>
        <v>-14406611</v>
      </c>
      <c r="G172" s="225">
        <f t="shared" si="86"/>
        <v>-23208611</v>
      </c>
      <c r="H172" s="225">
        <f t="shared" si="86"/>
        <v>-32619611</v>
      </c>
      <c r="I172" s="225">
        <f t="shared" si="86"/>
        <v>-9150611</v>
      </c>
      <c r="J172" s="225">
        <f t="shared" si="86"/>
        <v>-20477611</v>
      </c>
      <c r="K172" s="231"/>
    </row>
    <row r="173" spans="2:11" s="161" customFormat="1" ht="23.1" customHeight="1">
      <c r="B173" s="282" t="s">
        <v>111</v>
      </c>
      <c r="C173" s="131" t="s">
        <v>3</v>
      </c>
      <c r="D173" s="225">
        <f>$D$164+$D$167+$D$170</f>
        <v>3333115739.4642859</v>
      </c>
      <c r="E173" s="225">
        <f t="shared" ref="E173:J174" si="87">E164+E167+E170</f>
        <v>3333115739.4642859</v>
      </c>
      <c r="F173" s="225">
        <f t="shared" si="87"/>
        <v>3333115739.4642859</v>
      </c>
      <c r="G173" s="225">
        <f t="shared" si="87"/>
        <v>3333115739.4642859</v>
      </c>
      <c r="H173" s="225">
        <f t="shared" si="87"/>
        <v>3333115739.4642859</v>
      </c>
      <c r="I173" s="225">
        <f t="shared" si="87"/>
        <v>3333115739.4642859</v>
      </c>
      <c r="J173" s="225">
        <f t="shared" si="87"/>
        <v>3333115739.4642859</v>
      </c>
      <c r="K173" s="231"/>
    </row>
    <row r="174" spans="2:11" s="161" customFormat="1" ht="23.1" customHeight="1">
      <c r="B174" s="283"/>
      <c r="C174" s="131" t="s">
        <v>42</v>
      </c>
      <c r="D174" s="225">
        <f>$D$165+$D$168+$D$171</f>
        <v>3239341522.4642859</v>
      </c>
      <c r="E174" s="225">
        <f t="shared" si="87"/>
        <v>3068956122.4642859</v>
      </c>
      <c r="F174" s="225">
        <f t="shared" si="87"/>
        <v>3032101122.4642859</v>
      </c>
      <c r="G174" s="225">
        <f t="shared" si="87"/>
        <v>3005695122.4642859</v>
      </c>
      <c r="H174" s="225">
        <f t="shared" si="87"/>
        <v>2977462122.4642859</v>
      </c>
      <c r="I174" s="225">
        <f t="shared" si="87"/>
        <v>3040840122.4642859</v>
      </c>
      <c r="J174" s="225">
        <f t="shared" si="87"/>
        <v>3007817122.4642859</v>
      </c>
      <c r="K174" s="231"/>
    </row>
    <row r="175" spans="2:11" s="161" customFormat="1" ht="23.1" customHeight="1">
      <c r="B175" s="284"/>
      <c r="C175" s="131" t="s">
        <v>43</v>
      </c>
      <c r="D175" s="225">
        <f t="shared" ref="D175:J175" si="88">D174-D173</f>
        <v>-93774217</v>
      </c>
      <c r="E175" s="225">
        <f t="shared" si="88"/>
        <v>-264159617</v>
      </c>
      <c r="F175" s="225">
        <f t="shared" si="88"/>
        <v>-301014617</v>
      </c>
      <c r="G175" s="225">
        <f t="shared" si="88"/>
        <v>-327420617</v>
      </c>
      <c r="H175" s="225">
        <f t="shared" si="88"/>
        <v>-355653617</v>
      </c>
      <c r="I175" s="225">
        <f t="shared" si="88"/>
        <v>-292275617</v>
      </c>
      <c r="J175" s="225">
        <f t="shared" si="88"/>
        <v>-325298617</v>
      </c>
      <c r="K175" s="231"/>
    </row>
    <row r="176" spans="2:11" hidden="1">
      <c r="K176" s="195"/>
    </row>
    <row r="177" spans="2:11">
      <c r="D177" s="21">
        <f t="shared" ref="D177:J177" si="89">D175/23000</f>
        <v>-4077.1398695652174</v>
      </c>
      <c r="E177" s="133">
        <f t="shared" si="89"/>
        <v>-11485.200739130434</v>
      </c>
      <c r="F177" s="21">
        <f t="shared" si="89"/>
        <v>-13087.59204347826</v>
      </c>
      <c r="G177" s="21">
        <f t="shared" si="89"/>
        <v>-14235.679</v>
      </c>
      <c r="H177" s="21">
        <f t="shared" si="89"/>
        <v>-15463.200739130434</v>
      </c>
      <c r="I177" s="21">
        <f t="shared" si="89"/>
        <v>-12707.63552173913</v>
      </c>
      <c r="J177" s="21">
        <f t="shared" si="89"/>
        <v>-14143.418130434782</v>
      </c>
      <c r="K177" s="235"/>
    </row>
    <row r="178" spans="2:11">
      <c r="K178" s="195"/>
    </row>
    <row r="179" spans="2:11">
      <c r="K179" s="195"/>
    </row>
    <row r="180" spans="2:11" ht="23.1" customHeight="1">
      <c r="B180" s="131"/>
      <c r="C180" s="131"/>
      <c r="D180" s="201" t="s">
        <v>97</v>
      </c>
      <c r="E180" s="201" t="s">
        <v>98</v>
      </c>
      <c r="F180" s="201" t="s">
        <v>99</v>
      </c>
      <c r="G180" s="201" t="s">
        <v>100</v>
      </c>
      <c r="H180" s="201" t="s">
        <v>101</v>
      </c>
      <c r="I180" s="201" t="s">
        <v>102</v>
      </c>
      <c r="J180" s="201" t="s">
        <v>103</v>
      </c>
      <c r="K180" s="248"/>
    </row>
    <row r="181" spans="2:11" s="161" customFormat="1" ht="23.1" customHeight="1">
      <c r="B181" s="282" t="s">
        <v>10</v>
      </c>
      <c r="C181" s="131" t="s">
        <v>3</v>
      </c>
      <c r="D181" s="225">
        <f>$G$50+$G$51+$G$59+$G$83+$G$125</f>
        <v>1345458283.4642859</v>
      </c>
      <c r="E181" s="225">
        <f t="shared" ref="E181:J181" si="90">$D$164</f>
        <v>1345458283.4642859</v>
      </c>
      <c r="F181" s="225">
        <f t="shared" si="90"/>
        <v>1345458283.4642859</v>
      </c>
      <c r="G181" s="225">
        <f t="shared" si="90"/>
        <v>1345458283.4642859</v>
      </c>
      <c r="H181" s="225">
        <f t="shared" si="90"/>
        <v>1345458283.4642859</v>
      </c>
      <c r="I181" s="225">
        <f t="shared" si="90"/>
        <v>1345458283.4642859</v>
      </c>
      <c r="J181" s="225">
        <f t="shared" si="90"/>
        <v>1345458283.4642859</v>
      </c>
      <c r="K181" s="231"/>
    </row>
    <row r="182" spans="2:11" s="161" customFormat="1" ht="23.1" customHeight="1">
      <c r="B182" s="283"/>
      <c r="C182" s="131" t="s">
        <v>42</v>
      </c>
      <c r="D182" s="225">
        <f>$I$50+$I$51+I77+$I$83+$I$125</f>
        <v>1271252878.4642859</v>
      </c>
      <c r="E182" s="225">
        <f>+$D$182</f>
        <v>1271252878.4642859</v>
      </c>
      <c r="F182" s="225">
        <f t="shared" ref="F182:J182" si="91">+$D$182</f>
        <v>1271252878.4642859</v>
      </c>
      <c r="G182" s="225">
        <f t="shared" si="91"/>
        <v>1271252878.4642859</v>
      </c>
      <c r="H182" s="225">
        <f t="shared" si="91"/>
        <v>1271252878.4642859</v>
      </c>
      <c r="I182" s="225">
        <f t="shared" si="91"/>
        <v>1271252878.4642859</v>
      </c>
      <c r="J182" s="225">
        <f t="shared" si="91"/>
        <v>1271252878.4642859</v>
      </c>
      <c r="K182" s="231"/>
    </row>
    <row r="183" spans="2:11" s="161" customFormat="1" ht="23.1" customHeight="1">
      <c r="B183" s="283"/>
      <c r="C183" s="131" t="s">
        <v>43</v>
      </c>
      <c r="D183" s="225">
        <f t="shared" ref="D183:J183" si="92">D182-D181</f>
        <v>-74205405</v>
      </c>
      <c r="E183" s="225">
        <f t="shared" si="92"/>
        <v>-74205405</v>
      </c>
      <c r="F183" s="225">
        <f t="shared" si="92"/>
        <v>-74205405</v>
      </c>
      <c r="G183" s="225">
        <f t="shared" si="92"/>
        <v>-74205405</v>
      </c>
      <c r="H183" s="225">
        <f t="shared" si="92"/>
        <v>-74205405</v>
      </c>
      <c r="I183" s="225">
        <f t="shared" si="92"/>
        <v>-74205405</v>
      </c>
      <c r="J183" s="225">
        <f t="shared" si="92"/>
        <v>-74205405</v>
      </c>
      <c r="K183" s="231"/>
    </row>
    <row r="184" spans="2:11" s="161" customFormat="1" ht="23.1" customHeight="1">
      <c r="B184" s="282" t="s">
        <v>15</v>
      </c>
      <c r="C184" s="131" t="s">
        <v>3</v>
      </c>
      <c r="D184" s="225">
        <f>$G$56+$G$60+$G$63+$G$97+$G$126</f>
        <v>1335895977</v>
      </c>
      <c r="E184" s="225">
        <f t="shared" ref="E184:J184" si="93">$D$167</f>
        <v>1335895977</v>
      </c>
      <c r="F184" s="225">
        <f t="shared" si="93"/>
        <v>1335895977</v>
      </c>
      <c r="G184" s="225">
        <f t="shared" si="93"/>
        <v>1335895977</v>
      </c>
      <c r="H184" s="225">
        <f t="shared" si="93"/>
        <v>1335895977</v>
      </c>
      <c r="I184" s="225">
        <f t="shared" si="93"/>
        <v>1335895977</v>
      </c>
      <c r="J184" s="225">
        <f t="shared" si="93"/>
        <v>1335895977</v>
      </c>
      <c r="K184" s="231"/>
    </row>
    <row r="185" spans="2:11" s="161" customFormat="1" ht="23.1" customHeight="1">
      <c r="B185" s="283"/>
      <c r="C185" s="131" t="s">
        <v>42</v>
      </c>
      <c r="D185" s="225">
        <f>$I$52+$I$78+$I$81+I97+$I$126</f>
        <v>1263948531.9682541</v>
      </c>
      <c r="E185" s="225">
        <f>$I$52+$I$78+$I$81+I105+$I$126</f>
        <v>1094511731.9682541</v>
      </c>
      <c r="F185" s="225">
        <f>$I$52+$I$78+$I$81+I106+$I$126</f>
        <v>1069941731.968254</v>
      </c>
      <c r="G185" s="225">
        <f>$I$52+$I$78+$I$81+I107+$I$126</f>
        <v>1052337731.968254</v>
      </c>
      <c r="H185" s="225">
        <f>$I$52+$I$78+$I$81+I108+$I$126</f>
        <v>1033515731.968254</v>
      </c>
      <c r="I185" s="225">
        <f>$I$52+$I$78+$I$81+I109+$I$126</f>
        <v>1073424731.968254</v>
      </c>
      <c r="J185" s="225">
        <f>$I$52+$I$78+$I$81+I110+$I$126</f>
        <v>1051728731.968254</v>
      </c>
      <c r="K185" s="231"/>
    </row>
    <row r="186" spans="2:11" s="161" customFormat="1" ht="23.1" customHeight="1">
      <c r="B186" s="283"/>
      <c r="C186" s="131" t="s">
        <v>43</v>
      </c>
      <c r="D186" s="225">
        <f t="shared" ref="D186:J186" si="94">D185-D184</f>
        <v>-71947445.031745911</v>
      </c>
      <c r="E186" s="225">
        <f t="shared" si="94"/>
        <v>-241384245.03174591</v>
      </c>
      <c r="F186" s="225">
        <f t="shared" si="94"/>
        <v>-265954245.03174603</v>
      </c>
      <c r="G186" s="225">
        <f t="shared" si="94"/>
        <v>-283558245.03174603</v>
      </c>
      <c r="H186" s="225">
        <f t="shared" si="94"/>
        <v>-302380245.03174603</v>
      </c>
      <c r="I186" s="225">
        <f t="shared" si="94"/>
        <v>-262471245.03174603</v>
      </c>
      <c r="J186" s="225">
        <f t="shared" si="94"/>
        <v>-284167245.03174603</v>
      </c>
      <c r="K186" s="231"/>
    </row>
    <row r="187" spans="2:11" s="161" customFormat="1" ht="23.1" customHeight="1">
      <c r="B187" s="282" t="s">
        <v>17</v>
      </c>
      <c r="C187" s="131" t="s">
        <v>3</v>
      </c>
      <c r="D187" s="225">
        <f>$G$53+$G$61+$G$62+$G$111+$G$127</f>
        <v>651761479</v>
      </c>
      <c r="E187" s="225">
        <f t="shared" ref="E187:J187" si="95">$D$170</f>
        <v>651761479</v>
      </c>
      <c r="F187" s="225">
        <f t="shared" si="95"/>
        <v>651761479</v>
      </c>
      <c r="G187" s="225">
        <f t="shared" si="95"/>
        <v>651761479</v>
      </c>
      <c r="H187" s="225">
        <f t="shared" si="95"/>
        <v>651761479</v>
      </c>
      <c r="I187" s="225">
        <f t="shared" si="95"/>
        <v>651761479</v>
      </c>
      <c r="J187" s="225">
        <f t="shared" si="95"/>
        <v>651761479</v>
      </c>
      <c r="K187" s="231"/>
    </row>
    <row r="188" spans="2:11" s="161" customFormat="1" ht="23.1" customHeight="1">
      <c r="B188" s="283"/>
      <c r="C188" s="131" t="s">
        <v>42</v>
      </c>
      <c r="D188" s="225">
        <f>$I$53+$I$79+$I$80+I111+$I$127</f>
        <v>631468718.66666675</v>
      </c>
      <c r="E188" s="225">
        <f>$I$53+$I$79+$I$80+I119+$I$127</f>
        <v>630520118.66666663</v>
      </c>
      <c r="F188" s="225">
        <f>$I$53+$I$79+$I$80+I120+$I$127</f>
        <v>618235118.66666663</v>
      </c>
      <c r="G188" s="225">
        <f>$I$53+$I$79+$I$80+I121+$I$127</f>
        <v>609433118.66666663</v>
      </c>
      <c r="H188" s="225">
        <f>$I$53+$I$79+$I$80+I122+$I$127</f>
        <v>600022118.66666663</v>
      </c>
      <c r="I188" s="225">
        <f>$I$53+$I$79+$I$80+I123+$I$127</f>
        <v>623491118.66666663</v>
      </c>
      <c r="J188" s="225">
        <f>$I$53+$I$79+$I$80+I124+$I$127</f>
        <v>612164118.66666663</v>
      </c>
      <c r="K188" s="231"/>
    </row>
    <row r="189" spans="2:11" s="161" customFormat="1" ht="23.1" customHeight="1">
      <c r="B189" s="283"/>
      <c r="C189" s="131" t="s">
        <v>43</v>
      </c>
      <c r="D189" s="225">
        <f t="shared" ref="D189:J189" si="96">D188-D187</f>
        <v>-20292760.333333254</v>
      </c>
      <c r="E189" s="225">
        <f t="shared" si="96"/>
        <v>-21241360.333333373</v>
      </c>
      <c r="F189" s="225">
        <f t="shared" si="96"/>
        <v>-33526360.333333373</v>
      </c>
      <c r="G189" s="225">
        <f t="shared" si="96"/>
        <v>-42328360.333333373</v>
      </c>
      <c r="H189" s="225">
        <f t="shared" si="96"/>
        <v>-51739360.333333373</v>
      </c>
      <c r="I189" s="225">
        <f t="shared" si="96"/>
        <v>-28270360.333333373</v>
      </c>
      <c r="J189" s="225">
        <f t="shared" si="96"/>
        <v>-39597360.333333373</v>
      </c>
      <c r="K189" s="231"/>
    </row>
    <row r="190" spans="2:11" s="161" customFormat="1" ht="23.1" customHeight="1">
      <c r="B190" s="282" t="s">
        <v>111</v>
      </c>
      <c r="C190" s="131" t="s">
        <v>3</v>
      </c>
      <c r="D190" s="225">
        <f>$D$164+$D$167+$D$170</f>
        <v>3333115739.4642859</v>
      </c>
      <c r="E190" s="225">
        <f t="shared" ref="E190:J191" si="97">E181+E184+E187</f>
        <v>3333115739.4642859</v>
      </c>
      <c r="F190" s="225">
        <f t="shared" si="97"/>
        <v>3333115739.4642859</v>
      </c>
      <c r="G190" s="225">
        <f t="shared" si="97"/>
        <v>3333115739.4642859</v>
      </c>
      <c r="H190" s="225">
        <f t="shared" si="97"/>
        <v>3333115739.4642859</v>
      </c>
      <c r="I190" s="225">
        <f t="shared" si="97"/>
        <v>3333115739.4642859</v>
      </c>
      <c r="J190" s="225">
        <f t="shared" si="97"/>
        <v>3333115739.4642859</v>
      </c>
      <c r="K190" s="231"/>
    </row>
    <row r="191" spans="2:11" s="161" customFormat="1" ht="23.1" customHeight="1">
      <c r="B191" s="283"/>
      <c r="C191" s="131" t="s">
        <v>42</v>
      </c>
      <c r="D191" s="225">
        <f>D182+D185+D188</f>
        <v>3166670129.0992069</v>
      </c>
      <c r="E191" s="225">
        <f t="shared" si="97"/>
        <v>2996284729.0992064</v>
      </c>
      <c r="F191" s="225">
        <f t="shared" si="97"/>
        <v>2959429729.0992064</v>
      </c>
      <c r="G191" s="225">
        <f t="shared" si="97"/>
        <v>2933023729.0992064</v>
      </c>
      <c r="H191" s="225">
        <f t="shared" si="97"/>
        <v>2904790729.0992064</v>
      </c>
      <c r="I191" s="225">
        <f t="shared" si="97"/>
        <v>2968168729.0992064</v>
      </c>
      <c r="J191" s="225">
        <f t="shared" si="97"/>
        <v>2935145729.0992064</v>
      </c>
      <c r="K191" s="231"/>
    </row>
    <row r="192" spans="2:11" s="161" customFormat="1" ht="23.1" customHeight="1">
      <c r="B192" s="284"/>
      <c r="C192" s="131" t="s">
        <v>43</v>
      </c>
      <c r="D192" s="225">
        <f t="shared" ref="D192:J192" si="98">D191-D190</f>
        <v>-166445610.36507893</v>
      </c>
      <c r="E192" s="225">
        <f t="shared" si="98"/>
        <v>-336831010.3650794</v>
      </c>
      <c r="F192" s="225">
        <f t="shared" si="98"/>
        <v>-373686010.3650794</v>
      </c>
      <c r="G192" s="225">
        <f t="shared" si="98"/>
        <v>-400092010.3650794</v>
      </c>
      <c r="H192" s="225">
        <f t="shared" si="98"/>
        <v>-428325010.3650794</v>
      </c>
      <c r="I192" s="225">
        <f t="shared" si="98"/>
        <v>-364947010.3650794</v>
      </c>
      <c r="J192" s="225">
        <f t="shared" si="98"/>
        <v>-397970010.3650794</v>
      </c>
      <c r="K192" s="231"/>
    </row>
    <row r="193" spans="3:11">
      <c r="K193" s="195"/>
    </row>
    <row r="194" spans="3:11">
      <c r="D194" s="21">
        <f t="shared" ref="D194:J194" si="99">D192/23000</f>
        <v>-7236.7656680469099</v>
      </c>
      <c r="E194" s="21">
        <f t="shared" si="99"/>
        <v>-14644.826537612147</v>
      </c>
      <c r="F194" s="21">
        <f t="shared" si="99"/>
        <v>-16247.217841959973</v>
      </c>
      <c r="G194" s="21">
        <f t="shared" si="99"/>
        <v>-17395.304798481713</v>
      </c>
      <c r="H194" s="21">
        <f t="shared" si="99"/>
        <v>-18622.826537612149</v>
      </c>
      <c r="I194" s="21">
        <f t="shared" si="99"/>
        <v>-15867.261320220843</v>
      </c>
      <c r="J194" s="21">
        <f t="shared" si="99"/>
        <v>-17303.043928916497</v>
      </c>
      <c r="K194" s="235"/>
    </row>
    <row r="195" spans="3:11">
      <c r="D195" s="21">
        <f>+D194-D177</f>
        <v>-3159.6257984816925</v>
      </c>
      <c r="K195" s="195"/>
    </row>
    <row r="196" spans="3:11">
      <c r="K196" s="195"/>
    </row>
    <row r="200" spans="3:11">
      <c r="D200" s="201" t="s">
        <v>97</v>
      </c>
      <c r="E200" s="201" t="s">
        <v>98</v>
      </c>
      <c r="F200" s="201" t="s">
        <v>99</v>
      </c>
      <c r="G200" s="201" t="s">
        <v>100</v>
      </c>
      <c r="H200" s="201" t="s">
        <v>101</v>
      </c>
      <c r="I200" s="201" t="s">
        <v>102</v>
      </c>
      <c r="J200" s="201" t="s">
        <v>103</v>
      </c>
      <c r="K200" s="201" t="s">
        <v>117</v>
      </c>
    </row>
    <row r="201" spans="3:11">
      <c r="C201" s="251" t="s">
        <v>22</v>
      </c>
      <c r="D201" s="220">
        <f t="shared" ref="D201:J201" si="100">D175</f>
        <v>-93774217</v>
      </c>
      <c r="E201" s="220">
        <f t="shared" si="100"/>
        <v>-264159617</v>
      </c>
      <c r="F201" s="220">
        <f t="shared" si="100"/>
        <v>-301014617</v>
      </c>
      <c r="G201" s="220">
        <f t="shared" si="100"/>
        <v>-327420617</v>
      </c>
      <c r="H201" s="220">
        <f t="shared" si="100"/>
        <v>-355653617</v>
      </c>
      <c r="I201" s="220">
        <f t="shared" si="100"/>
        <v>-292275617</v>
      </c>
      <c r="J201" s="220">
        <f t="shared" si="100"/>
        <v>-325298617</v>
      </c>
      <c r="K201" s="7"/>
    </row>
    <row r="202" spans="3:11">
      <c r="C202" s="251" t="s">
        <v>30</v>
      </c>
      <c r="D202" s="220">
        <f t="shared" ref="D202:J202" si="101">D192</f>
        <v>-166445610.36507893</v>
      </c>
      <c r="E202" s="220">
        <f t="shared" si="101"/>
        <v>-336831010.3650794</v>
      </c>
      <c r="F202" s="220">
        <f t="shared" si="101"/>
        <v>-373686010.3650794</v>
      </c>
      <c r="G202" s="220">
        <f t="shared" si="101"/>
        <v>-400092010.3650794</v>
      </c>
      <c r="H202" s="220">
        <f t="shared" si="101"/>
        <v>-428325010.3650794</v>
      </c>
      <c r="I202" s="220">
        <f t="shared" si="101"/>
        <v>-364947010.3650794</v>
      </c>
      <c r="J202" s="220">
        <f t="shared" si="101"/>
        <v>-397970010.3650794</v>
      </c>
      <c r="K202" s="7"/>
    </row>
    <row r="203" spans="3:11">
      <c r="C203" s="131" t="s">
        <v>43</v>
      </c>
      <c r="D203" s="18">
        <f t="shared" ref="D203:J203" si="102">D202-D201</f>
        <v>-72671393.365078926</v>
      </c>
      <c r="E203" s="18">
        <f t="shared" si="102"/>
        <v>-72671393.365079403</v>
      </c>
      <c r="F203" s="18">
        <f t="shared" si="102"/>
        <v>-72671393.365079403</v>
      </c>
      <c r="G203" s="18">
        <f t="shared" si="102"/>
        <v>-72671393.365079403</v>
      </c>
      <c r="H203" s="18">
        <f t="shared" si="102"/>
        <v>-72671393.365079403</v>
      </c>
      <c r="I203" s="18">
        <f t="shared" si="102"/>
        <v>-72671393.365079403</v>
      </c>
      <c r="J203" s="18">
        <f t="shared" si="102"/>
        <v>-72671393.365079403</v>
      </c>
      <c r="K203" s="7"/>
    </row>
    <row r="205" spans="3:11">
      <c r="F205" t="s">
        <v>118</v>
      </c>
    </row>
    <row r="206" spans="3:11">
      <c r="D206" s="7" t="s">
        <v>22</v>
      </c>
      <c r="E206" s="7" t="s">
        <v>3</v>
      </c>
      <c r="F206" s="7" t="s">
        <v>42</v>
      </c>
      <c r="G206" s="7" t="s">
        <v>43</v>
      </c>
    </row>
    <row r="207" spans="3:11">
      <c r="D207" s="7" t="s">
        <v>10</v>
      </c>
      <c r="E207" s="220">
        <f>D164</f>
        <v>1345458283.4642859</v>
      </c>
      <c r="F207" s="220">
        <f>D165</f>
        <v>1304533314.4642859</v>
      </c>
      <c r="G207" s="220">
        <f>F207-E207</f>
        <v>-40924969</v>
      </c>
      <c r="H207" t="s">
        <v>113</v>
      </c>
    </row>
    <row r="208" spans="3:11">
      <c r="D208" s="7" t="s">
        <v>15</v>
      </c>
      <c r="E208" s="220">
        <f>D167</f>
        <v>1335895977</v>
      </c>
      <c r="F208" s="220">
        <f>J168</f>
        <v>1071999940</v>
      </c>
      <c r="G208" s="220">
        <f>F208-E208</f>
        <v>-263896037</v>
      </c>
      <c r="H208" t="s">
        <v>119</v>
      </c>
    </row>
    <row r="209" spans="4:8">
      <c r="D209" s="7" t="s">
        <v>17</v>
      </c>
      <c r="E209" s="220">
        <f>D187</f>
        <v>651761479</v>
      </c>
      <c r="F209" s="220">
        <f>J188</f>
        <v>612164118.66666663</v>
      </c>
      <c r="G209" s="220">
        <f>F209-E209</f>
        <v>-39597360.333333373</v>
      </c>
      <c r="H209" t="s">
        <v>120</v>
      </c>
    </row>
    <row r="210" spans="4:8">
      <c r="D210" s="7" t="s">
        <v>111</v>
      </c>
      <c r="E210" s="220">
        <f>SUM(E207:E209)</f>
        <v>3333115739.4642859</v>
      </c>
      <c r="F210" s="220">
        <f>SUM(F207:F209)</f>
        <v>2988697373.1309524</v>
      </c>
      <c r="G210" s="220">
        <f>F210-E210</f>
        <v>-344418366.33333349</v>
      </c>
    </row>
    <row r="211" spans="4:8">
      <c r="G211" s="21">
        <f>G210/23000</f>
        <v>-14974.711579710152</v>
      </c>
    </row>
    <row r="214" spans="4:8">
      <c r="D214" s="7" t="s">
        <v>30</v>
      </c>
      <c r="E214" s="7" t="s">
        <v>3</v>
      </c>
      <c r="F214" s="7" t="s">
        <v>42</v>
      </c>
      <c r="G214" s="7" t="s">
        <v>43</v>
      </c>
    </row>
    <row r="215" spans="4:8">
      <c r="D215" s="7" t="s">
        <v>10</v>
      </c>
      <c r="E215" s="220">
        <f>E207</f>
        <v>1345458283.4642859</v>
      </c>
      <c r="F215" s="220">
        <f>F207</f>
        <v>1304533314.4642859</v>
      </c>
      <c r="G215" s="220">
        <f t="shared" ref="G215:G218" si="103">F215-E215</f>
        <v>-40924969</v>
      </c>
    </row>
    <row r="216" spans="4:8">
      <c r="D216" s="7" t="s">
        <v>15</v>
      </c>
      <c r="E216" s="220">
        <f>E208</f>
        <v>1335895977</v>
      </c>
      <c r="F216" s="220">
        <f>J185</f>
        <v>1051728731.968254</v>
      </c>
      <c r="G216" s="220">
        <f t="shared" si="103"/>
        <v>-284167245.03174603</v>
      </c>
    </row>
    <row r="217" spans="4:8">
      <c r="D217" s="7" t="s">
        <v>17</v>
      </c>
      <c r="E217" s="220">
        <f>E209</f>
        <v>651761479</v>
      </c>
      <c r="F217" s="220">
        <f>J188</f>
        <v>612164118.66666663</v>
      </c>
      <c r="G217" s="220">
        <f t="shared" si="103"/>
        <v>-39597360.333333373</v>
      </c>
    </row>
    <row r="218" spans="4:8">
      <c r="D218" s="7" t="s">
        <v>111</v>
      </c>
      <c r="E218" s="220">
        <f>SUM(E215:E217)</f>
        <v>3333115739.4642859</v>
      </c>
      <c r="F218" s="220">
        <f>SUM(F215:F217)</f>
        <v>2968426165.0992064</v>
      </c>
      <c r="G218" s="220">
        <f t="shared" si="103"/>
        <v>-364689574.3650794</v>
      </c>
    </row>
    <row r="219" spans="4:8">
      <c r="G219" s="21">
        <f>G218/23000</f>
        <v>-15856.068450655626</v>
      </c>
    </row>
    <row r="221" spans="4:8">
      <c r="G221" s="21">
        <f>G219-G211</f>
        <v>-881.35687094547393</v>
      </c>
    </row>
  </sheetData>
  <mergeCells count="110">
    <mergeCell ref="I32:I34"/>
    <mergeCell ref="I39:I41"/>
    <mergeCell ref="J48:J49"/>
    <mergeCell ref="K48:M49"/>
    <mergeCell ref="K60:M62"/>
    <mergeCell ref="K66:M68"/>
    <mergeCell ref="K72:M74"/>
    <mergeCell ref="K78:M80"/>
    <mergeCell ref="B190:B192"/>
    <mergeCell ref="C48:C49"/>
    <mergeCell ref="C51:C54"/>
    <mergeCell ref="C55:C58"/>
    <mergeCell ref="C59:C62"/>
    <mergeCell ref="C65:C68"/>
    <mergeCell ref="C71:C74"/>
    <mergeCell ref="C77:C80"/>
    <mergeCell ref="C83:C96"/>
    <mergeCell ref="C97:C110"/>
    <mergeCell ref="C111:C124"/>
    <mergeCell ref="C125:C127"/>
    <mergeCell ref="C131:C132"/>
    <mergeCell ref="C142:C143"/>
    <mergeCell ref="B131:B132"/>
    <mergeCell ref="B142:B143"/>
    <mergeCell ref="B164:B166"/>
    <mergeCell ref="B167:B169"/>
    <mergeCell ref="B170:B172"/>
    <mergeCell ref="B173:B175"/>
    <mergeCell ref="B181:B183"/>
    <mergeCell ref="B184:B186"/>
    <mergeCell ref="B187:B189"/>
    <mergeCell ref="K123:M123"/>
    <mergeCell ref="K124:M124"/>
    <mergeCell ref="K125:M125"/>
    <mergeCell ref="K126:M126"/>
    <mergeCell ref="K127:M127"/>
    <mergeCell ref="K128:M128"/>
    <mergeCell ref="B48:B49"/>
    <mergeCell ref="B51:B54"/>
    <mergeCell ref="B55:B58"/>
    <mergeCell ref="B59:B64"/>
    <mergeCell ref="B65:B70"/>
    <mergeCell ref="B71:B76"/>
    <mergeCell ref="B77:B82"/>
    <mergeCell ref="B83:B128"/>
    <mergeCell ref="D48:D49"/>
    <mergeCell ref="E48:E49"/>
    <mergeCell ref="K114:M114"/>
    <mergeCell ref="K115:M115"/>
    <mergeCell ref="K116:M116"/>
    <mergeCell ref="K117:M117"/>
    <mergeCell ref="K118:M118"/>
    <mergeCell ref="K119:M119"/>
    <mergeCell ref="K120:M120"/>
    <mergeCell ref="K121:M121"/>
    <mergeCell ref="K96:M96"/>
    <mergeCell ref="K97:M97"/>
    <mergeCell ref="K98:M98"/>
    <mergeCell ref="K99:M99"/>
    <mergeCell ref="K100:M100"/>
    <mergeCell ref="K101:M101"/>
    <mergeCell ref="K102:M102"/>
    <mergeCell ref="K103:M103"/>
    <mergeCell ref="K104:M104"/>
    <mergeCell ref="K87:M87"/>
    <mergeCell ref="K88:M88"/>
    <mergeCell ref="K89:M89"/>
    <mergeCell ref="K90:M90"/>
    <mergeCell ref="K91:M91"/>
    <mergeCell ref="K92:M92"/>
    <mergeCell ref="K122:M122"/>
    <mergeCell ref="K105:M105"/>
    <mergeCell ref="K106:M106"/>
    <mergeCell ref="K107:M107"/>
    <mergeCell ref="K108:M108"/>
    <mergeCell ref="K109:M109"/>
    <mergeCell ref="K110:M110"/>
    <mergeCell ref="K111:M111"/>
    <mergeCell ref="K112:M112"/>
    <mergeCell ref="K113:M113"/>
    <mergeCell ref="K93:M93"/>
    <mergeCell ref="K94:M94"/>
    <mergeCell ref="K95:M95"/>
    <mergeCell ref="K75:M75"/>
    <mergeCell ref="K76:M76"/>
    <mergeCell ref="K77:M77"/>
    <mergeCell ref="K81:M81"/>
    <mergeCell ref="K82:M82"/>
    <mergeCell ref="K83:M83"/>
    <mergeCell ref="K84:M84"/>
    <mergeCell ref="K85:M85"/>
    <mergeCell ref="K86:M86"/>
    <mergeCell ref="K57:M57"/>
    <mergeCell ref="K58:M58"/>
    <mergeCell ref="K59:M59"/>
    <mergeCell ref="K63:M63"/>
    <mergeCell ref="K64:M64"/>
    <mergeCell ref="K65:M65"/>
    <mergeCell ref="K69:M69"/>
    <mergeCell ref="K70:M70"/>
    <mergeCell ref="K71:M71"/>
    <mergeCell ref="F48:G48"/>
    <mergeCell ref="H48:I48"/>
    <mergeCell ref="K50:M50"/>
    <mergeCell ref="K51:M51"/>
    <mergeCell ref="K52:M52"/>
    <mergeCell ref="K53:M53"/>
    <mergeCell ref="K54:M54"/>
    <mergeCell ref="K55:M55"/>
    <mergeCell ref="K56:M56"/>
  </mergeCells>
  <pageMargins left="0.7" right="0.7" top="0.75" bottom="0.75" header="0.3" footer="0.3"/>
  <pageSetup paperSize="9" scale="33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131"/>
  <sheetViews>
    <sheetView showGridLines="0" topLeftCell="A34" workbookViewId="0">
      <selection activeCell="K90" sqref="K90:M90"/>
    </sheetView>
  </sheetViews>
  <sheetFormatPr defaultColWidth="9" defaultRowHeight="15"/>
  <cols>
    <col min="3" max="3" width="16" customWidth="1"/>
    <col min="4" max="4" width="9.5703125" customWidth="1"/>
    <col min="10" max="10" width="9.28515625" customWidth="1"/>
    <col min="11" max="11" width="9.42578125" customWidth="1"/>
    <col min="12" max="12" width="9.7109375" customWidth="1"/>
    <col min="13" max="14" width="9.5703125" customWidth="1"/>
    <col min="15" max="15" width="9.140625" customWidth="1"/>
    <col min="20" max="20" width="10" customWidth="1"/>
    <col min="22" max="22" width="9.7109375" customWidth="1"/>
    <col min="23" max="23" width="13.28515625" customWidth="1"/>
  </cols>
  <sheetData>
    <row r="3" spans="2:23">
      <c r="B3" t="s">
        <v>158</v>
      </c>
      <c r="K3" s="183">
        <f>AVERAGE(K5:K16)</f>
        <v>732.54752075550005</v>
      </c>
      <c r="T3" s="183"/>
    </row>
    <row r="4" spans="2:23" s="160" customFormat="1" ht="30">
      <c r="B4" s="131" t="s">
        <v>10</v>
      </c>
      <c r="C4" s="131" t="s">
        <v>121</v>
      </c>
      <c r="D4" s="131" t="s">
        <v>159</v>
      </c>
      <c r="E4" s="131" t="s">
        <v>160</v>
      </c>
      <c r="F4" s="131" t="s">
        <v>161</v>
      </c>
      <c r="G4" s="162" t="s">
        <v>162</v>
      </c>
      <c r="I4" s="131" t="s">
        <v>15</v>
      </c>
      <c r="J4" s="131" t="s">
        <v>159</v>
      </c>
      <c r="K4" s="162" t="s">
        <v>163</v>
      </c>
      <c r="L4" s="162" t="s">
        <v>164</v>
      </c>
      <c r="M4" s="162" t="s">
        <v>162</v>
      </c>
      <c r="N4" s="162" t="s">
        <v>165</v>
      </c>
      <c r="R4" s="131" t="s">
        <v>17</v>
      </c>
      <c r="S4" s="131" t="s">
        <v>159</v>
      </c>
      <c r="T4" s="131" t="s">
        <v>160</v>
      </c>
      <c r="U4" s="131" t="s">
        <v>161</v>
      </c>
      <c r="V4" s="190" t="s">
        <v>166</v>
      </c>
      <c r="W4" s="162" t="s">
        <v>162</v>
      </c>
    </row>
    <row r="5" spans="2:23">
      <c r="B5" s="7" t="s">
        <v>167</v>
      </c>
      <c r="C5" s="7">
        <v>30.58</v>
      </c>
      <c r="D5" s="7">
        <v>15.5</v>
      </c>
      <c r="E5" s="7"/>
      <c r="F5" s="7"/>
      <c r="G5" s="7">
        <v>59.5</v>
      </c>
      <c r="I5" s="7" t="s">
        <v>167</v>
      </c>
      <c r="J5" s="7">
        <v>27.59</v>
      </c>
      <c r="K5" s="184">
        <v>828.45024906600099</v>
      </c>
      <c r="L5" s="7"/>
      <c r="M5" s="7">
        <v>80</v>
      </c>
      <c r="N5" s="7">
        <v>63.58</v>
      </c>
      <c r="R5" s="7" t="s">
        <v>167</v>
      </c>
      <c r="S5" s="7">
        <v>15.75</v>
      </c>
      <c r="T5" s="7">
        <v>178.77</v>
      </c>
      <c r="U5" s="7"/>
      <c r="V5" s="7">
        <v>26</v>
      </c>
      <c r="W5" s="7"/>
    </row>
    <row r="6" spans="2:23">
      <c r="B6" s="7" t="s">
        <v>168</v>
      </c>
      <c r="C6" s="7">
        <v>24.33</v>
      </c>
      <c r="D6" s="7">
        <v>13.33</v>
      </c>
      <c r="E6" s="7"/>
      <c r="F6" s="7"/>
      <c r="G6" s="7">
        <v>47.75</v>
      </c>
      <c r="I6" s="7" t="s">
        <v>168</v>
      </c>
      <c r="J6" s="7">
        <v>28.17</v>
      </c>
      <c r="K6" s="7">
        <v>635.36</v>
      </c>
      <c r="L6" s="7"/>
      <c r="M6" s="7">
        <v>96</v>
      </c>
      <c r="N6" s="7">
        <v>49.5</v>
      </c>
      <c r="R6" s="7" t="s">
        <v>168</v>
      </c>
      <c r="S6" s="7">
        <v>22.92</v>
      </c>
      <c r="T6" s="7">
        <v>133.55000000000001</v>
      </c>
      <c r="U6" s="7"/>
      <c r="V6" s="7">
        <v>18.829999999999998</v>
      </c>
      <c r="W6" s="7"/>
    </row>
    <row r="7" spans="2:23">
      <c r="B7" s="7" t="s">
        <v>169</v>
      </c>
      <c r="C7" s="7">
        <v>23.58</v>
      </c>
      <c r="D7" s="7">
        <v>10.08</v>
      </c>
      <c r="E7" s="7"/>
      <c r="F7" s="7"/>
      <c r="G7" s="7">
        <v>65.33</v>
      </c>
      <c r="I7" s="7" t="s">
        <v>169</v>
      </c>
      <c r="J7" s="7">
        <v>26.57</v>
      </c>
      <c r="K7" s="7">
        <v>647.51</v>
      </c>
      <c r="L7" s="7"/>
      <c r="M7" s="7">
        <v>100.83</v>
      </c>
      <c r="N7" s="7">
        <v>65.58</v>
      </c>
      <c r="R7" s="7" t="s">
        <v>169</v>
      </c>
      <c r="S7" s="7">
        <v>10.83</v>
      </c>
      <c r="T7" s="7">
        <v>149.13</v>
      </c>
      <c r="U7" s="7"/>
      <c r="V7" s="7">
        <v>28.08</v>
      </c>
      <c r="W7" s="7"/>
    </row>
    <row r="8" spans="2:23">
      <c r="B8" s="7" t="s">
        <v>170</v>
      </c>
      <c r="C8" s="7">
        <v>20.25</v>
      </c>
      <c r="D8" s="7">
        <v>6.67</v>
      </c>
      <c r="E8" s="7"/>
      <c r="F8" s="7"/>
      <c r="G8" s="7">
        <v>56.17</v>
      </c>
      <c r="I8" s="7" t="s">
        <v>170</v>
      </c>
      <c r="J8" s="7">
        <v>38.25</v>
      </c>
      <c r="K8" s="7">
        <v>776.83</v>
      </c>
      <c r="L8" s="7"/>
      <c r="M8" s="7">
        <v>118.5</v>
      </c>
      <c r="N8" s="7">
        <v>50.17</v>
      </c>
      <c r="R8" s="7" t="s">
        <v>170</v>
      </c>
      <c r="S8" s="7">
        <v>10.67</v>
      </c>
      <c r="T8" s="7">
        <v>121.53</v>
      </c>
      <c r="U8" s="7"/>
      <c r="V8" s="7">
        <v>23.25</v>
      </c>
      <c r="W8" s="7"/>
    </row>
    <row r="9" spans="2:23">
      <c r="B9" s="7" t="s">
        <v>171</v>
      </c>
      <c r="C9" s="7">
        <v>12.25</v>
      </c>
      <c r="D9" s="7">
        <v>4.42</v>
      </c>
      <c r="E9" s="7"/>
      <c r="F9" s="7"/>
      <c r="G9" s="7">
        <v>41.25</v>
      </c>
      <c r="I9" s="7" t="s">
        <v>171</v>
      </c>
      <c r="J9" s="7">
        <v>29.08</v>
      </c>
      <c r="K9" s="7">
        <v>643.01</v>
      </c>
      <c r="L9" s="7"/>
      <c r="M9" s="7">
        <v>89.25</v>
      </c>
      <c r="N9" s="7">
        <v>54</v>
      </c>
      <c r="R9" s="7" t="s">
        <v>171</v>
      </c>
      <c r="S9" s="7">
        <v>10.92</v>
      </c>
      <c r="T9" s="7">
        <v>102.67</v>
      </c>
      <c r="U9" s="7"/>
      <c r="V9" s="7">
        <v>18.670000000000002</v>
      </c>
      <c r="W9" s="7"/>
    </row>
    <row r="10" spans="2:23">
      <c r="B10" s="23" t="s">
        <v>172</v>
      </c>
      <c r="C10" s="7">
        <v>16.5</v>
      </c>
      <c r="D10" s="7">
        <v>7.42</v>
      </c>
      <c r="E10" s="7"/>
      <c r="F10" s="7"/>
      <c r="G10" s="7">
        <v>2.42</v>
      </c>
      <c r="I10" s="7" t="s">
        <v>172</v>
      </c>
      <c r="J10" s="7">
        <v>29.83</v>
      </c>
      <c r="K10" s="7">
        <v>807.94</v>
      </c>
      <c r="L10" s="7"/>
      <c r="M10" s="7">
        <v>80.67</v>
      </c>
      <c r="N10" s="7">
        <v>60.25</v>
      </c>
      <c r="R10" s="7" t="s">
        <v>172</v>
      </c>
      <c r="S10" s="7">
        <v>9.5</v>
      </c>
      <c r="T10" s="7">
        <v>145.21</v>
      </c>
      <c r="U10" s="7"/>
      <c r="V10" s="7">
        <v>32.92</v>
      </c>
      <c r="W10" s="7">
        <v>78.78</v>
      </c>
    </row>
    <row r="11" spans="2:23">
      <c r="B11" s="7" t="s">
        <v>173</v>
      </c>
      <c r="C11" s="7">
        <v>22.25</v>
      </c>
      <c r="D11" s="7">
        <v>9.92</v>
      </c>
      <c r="E11" s="7"/>
      <c r="F11" s="7"/>
      <c r="G11" s="7">
        <v>2.83</v>
      </c>
      <c r="I11" s="7" t="s">
        <v>173</v>
      </c>
      <c r="J11" s="7">
        <v>41.33</v>
      </c>
      <c r="K11" s="7">
        <v>789.49</v>
      </c>
      <c r="L11" s="7"/>
      <c r="M11" s="7">
        <v>81.75</v>
      </c>
      <c r="N11" s="7">
        <v>64.75</v>
      </c>
      <c r="R11" s="7" t="s">
        <v>173</v>
      </c>
      <c r="S11" s="7">
        <v>9.25</v>
      </c>
      <c r="T11" s="7">
        <v>173.45</v>
      </c>
      <c r="U11" s="7"/>
      <c r="V11" s="7">
        <v>30.17</v>
      </c>
      <c r="W11" s="7">
        <v>73.53</v>
      </c>
    </row>
    <row r="12" spans="2:23">
      <c r="B12" s="7" t="s">
        <v>174</v>
      </c>
      <c r="C12" s="7">
        <v>19.75</v>
      </c>
      <c r="D12" s="7">
        <v>18.600000000000001</v>
      </c>
      <c r="E12" s="7"/>
      <c r="F12" s="7"/>
      <c r="G12" s="7">
        <v>3.17</v>
      </c>
      <c r="I12" s="7" t="s">
        <v>174</v>
      </c>
      <c r="J12" s="7">
        <v>35.08</v>
      </c>
      <c r="K12" s="7">
        <v>785.4</v>
      </c>
      <c r="L12" s="7"/>
      <c r="M12" s="7">
        <v>90.92</v>
      </c>
      <c r="N12" s="7">
        <v>70.75</v>
      </c>
      <c r="R12" s="7" t="s">
        <v>174</v>
      </c>
      <c r="S12" s="7">
        <v>15.08</v>
      </c>
      <c r="T12" s="7">
        <v>156.22999999999999</v>
      </c>
      <c r="U12" s="7"/>
      <c r="V12" s="7">
        <v>33.25</v>
      </c>
      <c r="W12" s="7">
        <v>80.5</v>
      </c>
    </row>
    <row r="13" spans="2:23">
      <c r="B13" s="7" t="s">
        <v>175</v>
      </c>
      <c r="C13" s="7">
        <v>18.079999999999998</v>
      </c>
      <c r="D13" s="7">
        <v>12.1</v>
      </c>
      <c r="E13" s="7"/>
      <c r="F13" s="7"/>
      <c r="G13" s="7">
        <v>8.09</v>
      </c>
      <c r="I13" s="7" t="s">
        <v>175</v>
      </c>
      <c r="J13" s="7">
        <v>36.28</v>
      </c>
      <c r="K13" s="7">
        <v>661.66</v>
      </c>
      <c r="L13" s="7"/>
      <c r="M13" s="7">
        <v>79.58</v>
      </c>
      <c r="N13" s="7">
        <v>56.75</v>
      </c>
      <c r="R13" s="7" t="s">
        <v>175</v>
      </c>
      <c r="S13" s="7">
        <v>13.25</v>
      </c>
      <c r="T13" s="7">
        <v>114.64</v>
      </c>
      <c r="U13" s="7"/>
      <c r="V13" s="7">
        <v>19.02</v>
      </c>
      <c r="W13" s="7">
        <v>63.58</v>
      </c>
    </row>
    <row r="14" spans="2:23">
      <c r="B14" s="7" t="s">
        <v>176</v>
      </c>
      <c r="C14" s="7">
        <v>24.67</v>
      </c>
      <c r="D14" s="7">
        <v>11.83</v>
      </c>
      <c r="E14" s="7"/>
      <c r="F14" s="7"/>
      <c r="G14" s="7">
        <v>5.2</v>
      </c>
      <c r="I14" s="7" t="s">
        <v>176</v>
      </c>
      <c r="J14" s="7">
        <v>38.72</v>
      </c>
      <c r="K14" s="7">
        <v>693.8</v>
      </c>
      <c r="L14" s="7"/>
      <c r="M14" s="7">
        <v>92.78</v>
      </c>
      <c r="N14" s="7">
        <v>70.08</v>
      </c>
      <c r="R14" s="7" t="s">
        <v>176</v>
      </c>
      <c r="S14" s="7">
        <v>16</v>
      </c>
      <c r="T14" s="7">
        <v>152.41999999999999</v>
      </c>
      <c r="U14" s="7"/>
      <c r="V14" s="7">
        <v>27.08</v>
      </c>
      <c r="W14" s="7">
        <v>69.75</v>
      </c>
    </row>
    <row r="15" spans="2:23">
      <c r="B15" s="7" t="s">
        <v>177</v>
      </c>
      <c r="C15" s="7">
        <v>27.83</v>
      </c>
      <c r="D15" s="7">
        <v>11.07</v>
      </c>
      <c r="E15" s="7"/>
      <c r="F15" s="7"/>
      <c r="G15" s="7">
        <v>10.15</v>
      </c>
      <c r="I15" s="7" t="s">
        <v>177</v>
      </c>
      <c r="J15" s="7">
        <v>43.83</v>
      </c>
      <c r="K15" s="7">
        <v>718.41</v>
      </c>
      <c r="L15" s="7"/>
      <c r="M15" s="7">
        <v>80.75</v>
      </c>
      <c r="N15" s="7">
        <v>73.58</v>
      </c>
      <c r="R15" s="7" t="s">
        <v>177</v>
      </c>
      <c r="S15" s="7">
        <v>8.58</v>
      </c>
      <c r="T15" s="7">
        <v>128.05000000000001</v>
      </c>
      <c r="U15" s="7"/>
      <c r="V15" s="7">
        <v>21</v>
      </c>
      <c r="W15" s="7">
        <v>72.98</v>
      </c>
    </row>
    <row r="16" spans="2:23">
      <c r="B16" s="7" t="s">
        <v>178</v>
      </c>
      <c r="C16" s="7">
        <v>26.17</v>
      </c>
      <c r="D16" s="7">
        <v>15</v>
      </c>
      <c r="E16" s="7"/>
      <c r="F16" s="7"/>
      <c r="G16" s="7">
        <v>21.54</v>
      </c>
      <c r="I16" s="7" t="s">
        <v>178</v>
      </c>
      <c r="J16" s="7">
        <v>18.670000000000002</v>
      </c>
      <c r="K16" s="7">
        <v>802.71</v>
      </c>
      <c r="L16" s="7"/>
      <c r="M16" s="7">
        <v>83.83</v>
      </c>
      <c r="N16" s="7">
        <v>59.75</v>
      </c>
      <c r="R16" s="7" t="s">
        <v>178</v>
      </c>
      <c r="S16" s="7">
        <v>6.08</v>
      </c>
      <c r="T16" s="191">
        <v>167</v>
      </c>
      <c r="U16" s="7"/>
      <c r="V16" s="7">
        <v>20.5</v>
      </c>
      <c r="W16" s="7">
        <v>64.17</v>
      </c>
    </row>
    <row r="17" spans="2:26">
      <c r="B17" t="s">
        <v>179</v>
      </c>
      <c r="C17" s="25">
        <f>AVERAGE(C5:C16)</f>
        <v>22.186666666666667</v>
      </c>
      <c r="D17" s="25">
        <f>AVERAGE(D5:D16)</f>
        <v>11.328333333333333</v>
      </c>
      <c r="E17" s="25">
        <f>E19/E18*23000-G17</f>
        <v>372.56543542074348</v>
      </c>
      <c r="F17" s="25">
        <f>F19/F18*23000</f>
        <v>176.81333333333336</v>
      </c>
      <c r="G17" s="25">
        <f>AVERAGE(G10:G16)</f>
        <v>7.6285714285714281</v>
      </c>
      <c r="H17" s="25"/>
      <c r="I17" t="s">
        <v>179</v>
      </c>
      <c r="J17" s="25">
        <f>AVERAGE(J5:J16)</f>
        <v>32.783333333333331</v>
      </c>
      <c r="K17" s="25">
        <f>AVERAGE(K5:K16)</f>
        <v>732.54752075550005</v>
      </c>
      <c r="L17" s="25">
        <f>L19/L18*23000-N17</f>
        <v>217.63666666666683</v>
      </c>
      <c r="M17" s="25">
        <f>AVERAGE(M10:M16)</f>
        <v>84.325714285714298</v>
      </c>
      <c r="N17" s="25">
        <f>AVERAGE(N5:N16)</f>
        <v>61.561666666666667</v>
      </c>
      <c r="O17" s="25"/>
      <c r="P17" s="25"/>
      <c r="Q17" s="25"/>
      <c r="R17" t="s">
        <v>179</v>
      </c>
      <c r="S17" s="25">
        <f>AVERAGE(S5:S16)</f>
        <v>12.402500000000003</v>
      </c>
      <c r="T17" s="25">
        <f>AVERAGE(T5:T16)</f>
        <v>143.55416666666667</v>
      </c>
      <c r="U17" s="25">
        <f>U19/U18*23000</f>
        <v>137.41249999933322</v>
      </c>
      <c r="V17" s="25">
        <f>AVERAGE(V5:V16)</f>
        <v>24.897500000000004</v>
      </c>
      <c r="W17" s="192">
        <f>AVERAGE(W10:W16)</f>
        <v>71.898571428571429</v>
      </c>
    </row>
    <row r="18" spans="2:26">
      <c r="B18" t="s">
        <v>180</v>
      </c>
      <c r="C18" s="163">
        <v>82000</v>
      </c>
      <c r="D18" s="163">
        <v>82600</v>
      </c>
      <c r="E18">
        <v>80300</v>
      </c>
      <c r="F18">
        <v>50000</v>
      </c>
      <c r="I18" t="s">
        <v>180</v>
      </c>
      <c r="J18" s="163"/>
      <c r="L18">
        <v>50000</v>
      </c>
      <c r="R18" t="s">
        <v>180</v>
      </c>
      <c r="S18" s="163">
        <v>82600</v>
      </c>
      <c r="U18">
        <v>50000</v>
      </c>
    </row>
    <row r="19" spans="2:26">
      <c r="B19" t="s">
        <v>181</v>
      </c>
      <c r="C19" s="21">
        <f>C17*C18/23000</f>
        <v>79.100289855072461</v>
      </c>
      <c r="D19" s="21">
        <f>D17*D18/23000</f>
        <v>40.683492753623192</v>
      </c>
      <c r="E19" s="164">
        <f>C24-C19-D19</f>
        <v>1327.3729891304342</v>
      </c>
      <c r="F19" s="164">
        <f>D24</f>
        <v>384.37681159420299</v>
      </c>
      <c r="G19" s="164"/>
      <c r="I19" t="s">
        <v>181</v>
      </c>
      <c r="J19" s="21"/>
      <c r="K19" s="164"/>
      <c r="L19" s="164">
        <f>D25</f>
        <v>606.95289855072497</v>
      </c>
      <c r="R19" t="s">
        <v>181</v>
      </c>
      <c r="S19" s="21"/>
      <c r="T19" s="164"/>
      <c r="U19" s="164">
        <f>D26</f>
        <v>298.72282608550699</v>
      </c>
      <c r="V19" s="21"/>
    </row>
    <row r="20" spans="2:26">
      <c r="B20" t="s">
        <v>182</v>
      </c>
      <c r="C20" s="21">
        <v>1</v>
      </c>
      <c r="D20" s="21">
        <v>1</v>
      </c>
      <c r="E20" s="21">
        <v>20</v>
      </c>
      <c r="F20" s="21">
        <v>11</v>
      </c>
      <c r="G20" s="21"/>
      <c r="H20" s="21">
        <f>SUM(C20:F20)</f>
        <v>33</v>
      </c>
      <c r="I20" t="s">
        <v>182</v>
      </c>
      <c r="J20" s="21">
        <v>1</v>
      </c>
      <c r="K20" s="21">
        <v>20</v>
      </c>
      <c r="L20" s="21">
        <v>7</v>
      </c>
      <c r="M20" s="21"/>
      <c r="N20" s="21"/>
      <c r="O20" s="21">
        <f>(L17+N17)/8</f>
        <v>34.899791666666687</v>
      </c>
      <c r="P20" s="21"/>
      <c r="Q20" s="21"/>
      <c r="R20" t="s">
        <v>182</v>
      </c>
      <c r="S20" s="21">
        <v>1</v>
      </c>
      <c r="T20" s="21">
        <v>6</v>
      </c>
      <c r="U20" s="21">
        <v>7</v>
      </c>
      <c r="V20" s="21">
        <v>1</v>
      </c>
      <c r="W20" s="21">
        <f>SUM(S20:V20)</f>
        <v>15</v>
      </c>
    </row>
    <row r="21" spans="2:26">
      <c r="B21" s="165" t="s">
        <v>20</v>
      </c>
      <c r="C21" s="166">
        <f t="shared" ref="C21:F21" si="0">C17/C20</f>
        <v>22.186666666666667</v>
      </c>
      <c r="D21" s="166">
        <f t="shared" si="0"/>
        <v>11.328333333333333</v>
      </c>
      <c r="E21" s="166">
        <f t="shared" si="0"/>
        <v>18.628271771037173</v>
      </c>
      <c r="F21" s="166">
        <f t="shared" si="0"/>
        <v>16.073939393939398</v>
      </c>
      <c r="G21" s="166"/>
      <c r="I21" s="165" t="s">
        <v>20</v>
      </c>
      <c r="J21" s="166">
        <f t="shared" ref="J21" si="1">J17/J20</f>
        <v>32.783333333333331</v>
      </c>
      <c r="K21" s="166">
        <f>(K17+M17)/K20</f>
        <v>40.843661752060719</v>
      </c>
      <c r="L21" s="166">
        <f>(L17+N17)/L20</f>
        <v>39.885476190476211</v>
      </c>
      <c r="R21" s="165" t="s">
        <v>20</v>
      </c>
      <c r="S21" s="166">
        <f t="shared" ref="S21:V21" si="2">S17/S20</f>
        <v>12.402500000000003</v>
      </c>
      <c r="T21" s="166">
        <f t="shared" si="2"/>
        <v>23.925694444444446</v>
      </c>
      <c r="U21" s="193">
        <f t="shared" si="2"/>
        <v>19.630357142761888</v>
      </c>
      <c r="V21" s="166">
        <f t="shared" si="2"/>
        <v>24.897500000000004</v>
      </c>
    </row>
    <row r="22" spans="2:26">
      <c r="L22" s="21">
        <f>L17/7</f>
        <v>31.090952380952405</v>
      </c>
      <c r="U22" s="21">
        <f>(U17+V17)/8</f>
        <v>20.288749999916654</v>
      </c>
    </row>
    <row r="23" spans="2:26">
      <c r="B23" s="167"/>
      <c r="C23" s="168" t="s">
        <v>4</v>
      </c>
      <c r="D23" s="168" t="s">
        <v>5</v>
      </c>
      <c r="E23" s="168" t="s">
        <v>48</v>
      </c>
      <c r="F23" s="168"/>
      <c r="G23" s="169"/>
    </row>
    <row r="24" spans="2:26">
      <c r="B24" s="170" t="s">
        <v>10</v>
      </c>
      <c r="C24" s="171">
        <v>1447.1567717391299</v>
      </c>
      <c r="D24" s="171">
        <v>384.37681159420299</v>
      </c>
      <c r="E24" s="171">
        <f t="shared" ref="E24:E27" si="3">SUM(C24:D24)</f>
        <v>1831.5335833333329</v>
      </c>
      <c r="F24" s="171"/>
      <c r="G24" s="172"/>
      <c r="H24" s="21">
        <f>(E21*20+G17*2)/22</f>
        <v>17.628299012631199</v>
      </c>
      <c r="I24" s="21">
        <f>1476-C19-12*D18/23000</f>
        <v>1353.8040579710143</v>
      </c>
      <c r="T24" s="21">
        <f>(T17+W17)/7</f>
        <v>30.778962585034012</v>
      </c>
    </row>
    <row r="25" spans="2:26">
      <c r="B25" s="170" t="s">
        <v>15</v>
      </c>
      <c r="C25" s="171">
        <v>2982.9960362318802</v>
      </c>
      <c r="D25" s="171">
        <v>606.95289855072497</v>
      </c>
      <c r="E25" s="171">
        <f t="shared" si="3"/>
        <v>3589.9489347826052</v>
      </c>
      <c r="F25" s="171"/>
      <c r="G25" s="172"/>
      <c r="I25" s="21">
        <f>I24*23000/E18-G17</f>
        <v>380.13597817707398</v>
      </c>
      <c r="K25" s="21"/>
    </row>
    <row r="26" spans="2:26">
      <c r="B26" s="170" t="s">
        <v>17</v>
      </c>
      <c r="C26" s="171">
        <v>855.09855072463802</v>
      </c>
      <c r="D26" s="171">
        <v>298.72282608550699</v>
      </c>
      <c r="E26" s="171">
        <f t="shared" si="3"/>
        <v>1153.821376810145</v>
      </c>
      <c r="F26" s="171"/>
      <c r="G26" s="172"/>
    </row>
    <row r="27" spans="2:26">
      <c r="B27" s="173" t="s">
        <v>111</v>
      </c>
      <c r="C27" s="174">
        <f>+C24+C25+C26</f>
        <v>5285.2513586956475</v>
      </c>
      <c r="D27" s="174">
        <f>+D24+D25+D26</f>
        <v>1290.052536230435</v>
      </c>
      <c r="E27" s="171">
        <f t="shared" si="3"/>
        <v>6575.3038949260826</v>
      </c>
      <c r="F27" s="171"/>
      <c r="G27" s="172"/>
    </row>
    <row r="29" spans="2:26">
      <c r="B29" s="175" t="s">
        <v>183</v>
      </c>
      <c r="I29" s="22" t="s">
        <v>184</v>
      </c>
    </row>
    <row r="30" spans="2:26">
      <c r="B30" s="175"/>
    </row>
    <row r="31" spans="2:26" s="161" customFormat="1" ht="18" customHeight="1">
      <c r="C31" s="312" t="s">
        <v>185</v>
      </c>
      <c r="D31" s="312"/>
      <c r="E31" s="312" t="s">
        <v>159</v>
      </c>
      <c r="F31" s="312"/>
      <c r="G31" s="177"/>
      <c r="J31" s="312" t="s">
        <v>159</v>
      </c>
      <c r="K31" s="312"/>
      <c r="L31" s="317" t="s">
        <v>163</v>
      </c>
      <c r="M31" s="317"/>
      <c r="N31" s="317" t="s">
        <v>162</v>
      </c>
      <c r="O31" s="317"/>
      <c r="T31" s="312" t="s">
        <v>159</v>
      </c>
      <c r="U31" s="312"/>
      <c r="V31" s="315" t="s">
        <v>186</v>
      </c>
      <c r="W31" s="316"/>
      <c r="Y31" s="315" t="s">
        <v>187</v>
      </c>
      <c r="Z31" s="316"/>
    </row>
    <row r="32" spans="2:26" s="160" customFormat="1" ht="30">
      <c r="B32" s="178" t="s">
        <v>10</v>
      </c>
      <c r="C32" s="162" t="s">
        <v>188</v>
      </c>
      <c r="D32" s="176" t="s">
        <v>189</v>
      </c>
      <c r="E32" s="162" t="s">
        <v>188</v>
      </c>
      <c r="F32" s="176" t="s">
        <v>189</v>
      </c>
      <c r="G32" s="177"/>
      <c r="I32" s="178" t="s">
        <v>15</v>
      </c>
      <c r="J32" s="162" t="s">
        <v>188</v>
      </c>
      <c r="K32" s="176" t="s">
        <v>189</v>
      </c>
      <c r="L32" s="162" t="s">
        <v>188</v>
      </c>
      <c r="M32" s="176" t="s">
        <v>189</v>
      </c>
      <c r="N32" s="162" t="s">
        <v>188</v>
      </c>
      <c r="O32" s="176" t="s">
        <v>189</v>
      </c>
      <c r="P32" s="185"/>
      <c r="Q32" s="185"/>
      <c r="S32" s="194" t="s">
        <v>17</v>
      </c>
      <c r="T32" s="162" t="s">
        <v>188</v>
      </c>
      <c r="U32" s="176" t="s">
        <v>189</v>
      </c>
      <c r="V32" s="162" t="s">
        <v>188</v>
      </c>
      <c r="W32" s="176" t="s">
        <v>189</v>
      </c>
      <c r="Y32" s="162" t="s">
        <v>188</v>
      </c>
      <c r="Z32" s="176" t="s">
        <v>189</v>
      </c>
    </row>
    <row r="33" spans="2:26">
      <c r="B33" s="7" t="s">
        <v>167</v>
      </c>
      <c r="C33" s="7">
        <v>0</v>
      </c>
      <c r="D33" s="7">
        <v>0</v>
      </c>
      <c r="E33" s="179">
        <v>0</v>
      </c>
      <c r="F33" s="7">
        <v>0</v>
      </c>
      <c r="I33" s="7" t="s">
        <v>167</v>
      </c>
      <c r="J33" s="7">
        <v>61</v>
      </c>
      <c r="K33" s="7">
        <v>1.5</v>
      </c>
      <c r="L33" s="7"/>
      <c r="M33" s="7">
        <f>+P33-O33-K33</f>
        <v>2</v>
      </c>
      <c r="N33" s="186">
        <v>1039</v>
      </c>
      <c r="O33" s="138">
        <v>2</v>
      </c>
      <c r="P33" s="118">
        <v>5.5</v>
      </c>
      <c r="Q33" s="118"/>
      <c r="S33" s="7" t="s">
        <v>167</v>
      </c>
      <c r="T33" s="7">
        <v>61</v>
      </c>
      <c r="U33" s="7">
        <v>1.5</v>
      </c>
      <c r="V33" s="7"/>
      <c r="W33" s="7">
        <v>1</v>
      </c>
      <c r="Y33" s="7">
        <v>0</v>
      </c>
      <c r="Z33" s="7">
        <v>0</v>
      </c>
    </row>
    <row r="34" spans="2:26">
      <c r="B34" s="7" t="s">
        <v>168</v>
      </c>
      <c r="C34" s="7">
        <v>32</v>
      </c>
      <c r="D34" s="7">
        <v>0</v>
      </c>
      <c r="E34" s="179">
        <v>30</v>
      </c>
      <c r="F34" s="7">
        <v>0.5</v>
      </c>
      <c r="I34" s="7" t="s">
        <v>168</v>
      </c>
      <c r="J34" s="7">
        <v>0</v>
      </c>
      <c r="K34" s="7">
        <v>0</v>
      </c>
      <c r="L34" s="7"/>
      <c r="M34" s="7">
        <f t="shared" ref="M34:M44" si="4">+P34-O34-K34</f>
        <v>9</v>
      </c>
      <c r="N34" s="179">
        <v>1844</v>
      </c>
      <c r="O34" s="7">
        <v>3</v>
      </c>
      <c r="P34" s="118">
        <v>12</v>
      </c>
      <c r="Q34" s="118"/>
      <c r="S34" s="7" t="s">
        <v>168</v>
      </c>
      <c r="T34" s="7">
        <v>60</v>
      </c>
      <c r="U34" s="7">
        <v>0.5</v>
      </c>
      <c r="V34" s="7"/>
      <c r="W34" s="7">
        <v>2</v>
      </c>
      <c r="Y34" s="7">
        <v>0</v>
      </c>
      <c r="Z34" s="7">
        <v>0</v>
      </c>
    </row>
    <row r="35" spans="2:26">
      <c r="B35" s="7" t="s">
        <v>169</v>
      </c>
      <c r="C35" s="7">
        <v>0</v>
      </c>
      <c r="D35" s="7">
        <v>0</v>
      </c>
      <c r="E35" s="179">
        <v>0</v>
      </c>
      <c r="F35" s="7">
        <v>0</v>
      </c>
      <c r="I35" s="7" t="s">
        <v>169</v>
      </c>
      <c r="J35" s="7">
        <v>0</v>
      </c>
      <c r="K35" s="7">
        <v>0</v>
      </c>
      <c r="L35" s="7"/>
      <c r="M35" s="7">
        <f t="shared" si="4"/>
        <v>1</v>
      </c>
      <c r="N35" s="179">
        <v>1550</v>
      </c>
      <c r="O35" s="7">
        <v>3</v>
      </c>
      <c r="P35" s="118">
        <v>4</v>
      </c>
      <c r="Q35" s="118"/>
      <c r="S35" s="7" t="s">
        <v>169</v>
      </c>
      <c r="T35" s="7">
        <v>0</v>
      </c>
      <c r="U35" s="7">
        <v>0</v>
      </c>
      <c r="V35" s="7"/>
      <c r="W35" s="7">
        <v>4</v>
      </c>
      <c r="Y35" s="7">
        <v>0</v>
      </c>
      <c r="Z35" s="7">
        <v>0</v>
      </c>
    </row>
    <row r="36" spans="2:26">
      <c r="B36" s="7" t="s">
        <v>170</v>
      </c>
      <c r="C36" s="7">
        <v>0</v>
      </c>
      <c r="D36" s="7">
        <v>0</v>
      </c>
      <c r="E36" s="7">
        <v>0</v>
      </c>
      <c r="F36" s="7">
        <v>0</v>
      </c>
      <c r="I36" s="7" t="s">
        <v>170</v>
      </c>
      <c r="J36" s="7">
        <v>0</v>
      </c>
      <c r="K36" s="7">
        <v>0</v>
      </c>
      <c r="L36" s="7"/>
      <c r="M36" s="7">
        <f t="shared" si="4"/>
        <v>2</v>
      </c>
      <c r="N36" s="179">
        <v>2300</v>
      </c>
      <c r="O36" s="7">
        <v>4</v>
      </c>
      <c r="P36" s="118">
        <v>6</v>
      </c>
      <c r="Q36" s="118"/>
      <c r="S36" s="7" t="s">
        <v>170</v>
      </c>
      <c r="T36" s="7">
        <v>0</v>
      </c>
      <c r="U36" s="7">
        <v>0</v>
      </c>
      <c r="V36" s="7"/>
      <c r="W36" s="7">
        <v>3.5</v>
      </c>
      <c r="Y36" s="7">
        <v>0</v>
      </c>
      <c r="Z36" s="7">
        <v>0</v>
      </c>
    </row>
    <row r="37" spans="2:26">
      <c r="B37" s="7" t="s">
        <v>171</v>
      </c>
      <c r="C37" s="7">
        <v>0</v>
      </c>
      <c r="D37" s="7">
        <v>0</v>
      </c>
      <c r="E37" s="7">
        <v>0</v>
      </c>
      <c r="F37" s="7">
        <v>0</v>
      </c>
      <c r="I37" s="7" t="s">
        <v>171</v>
      </c>
      <c r="J37" s="7">
        <v>0</v>
      </c>
      <c r="K37" s="7">
        <v>0</v>
      </c>
      <c r="L37" s="7"/>
      <c r="M37" s="7">
        <f t="shared" si="4"/>
        <v>4</v>
      </c>
      <c r="N37" s="179">
        <v>1850</v>
      </c>
      <c r="O37" s="7">
        <v>3</v>
      </c>
      <c r="P37" s="118">
        <v>7</v>
      </c>
      <c r="Q37" s="118"/>
      <c r="S37" s="7" t="s">
        <v>171</v>
      </c>
      <c r="T37" s="7">
        <v>0</v>
      </c>
      <c r="U37" s="7">
        <v>0</v>
      </c>
      <c r="V37" s="7"/>
      <c r="W37" s="7">
        <v>1</v>
      </c>
      <c r="Y37" s="7">
        <v>0</v>
      </c>
      <c r="Z37" s="7">
        <v>0</v>
      </c>
    </row>
    <row r="38" spans="2:26">
      <c r="B38" s="7" t="s">
        <v>172</v>
      </c>
      <c r="C38" s="7">
        <v>0</v>
      </c>
      <c r="D38" s="7">
        <v>0</v>
      </c>
      <c r="E38" s="7">
        <v>0</v>
      </c>
      <c r="F38" s="7">
        <v>0</v>
      </c>
      <c r="I38" s="7" t="s">
        <v>172</v>
      </c>
      <c r="J38" s="7">
        <v>0</v>
      </c>
      <c r="K38" s="7">
        <v>0</v>
      </c>
      <c r="L38" s="7"/>
      <c r="M38" s="7">
        <f t="shared" si="4"/>
        <v>5</v>
      </c>
      <c r="N38" s="179">
        <v>2050</v>
      </c>
      <c r="O38" s="7">
        <v>3</v>
      </c>
      <c r="P38" s="118">
        <v>8</v>
      </c>
      <c r="Q38" s="118"/>
      <c r="S38" s="7" t="s">
        <v>172</v>
      </c>
      <c r="T38" s="7">
        <v>0</v>
      </c>
      <c r="U38" s="7">
        <v>0</v>
      </c>
      <c r="V38" s="7"/>
      <c r="W38" s="7">
        <v>2</v>
      </c>
      <c r="Y38" s="7">
        <v>81</v>
      </c>
      <c r="Z38" s="7">
        <v>1</v>
      </c>
    </row>
    <row r="39" spans="2:26">
      <c r="B39" s="7" t="s">
        <v>173</v>
      </c>
      <c r="C39" s="7">
        <v>0</v>
      </c>
      <c r="D39" s="7">
        <v>1</v>
      </c>
      <c r="E39" s="7">
        <v>0</v>
      </c>
      <c r="F39" s="7">
        <v>0</v>
      </c>
      <c r="I39" s="7" t="s">
        <v>173</v>
      </c>
      <c r="J39" s="7">
        <v>0</v>
      </c>
      <c r="K39" s="7">
        <v>1</v>
      </c>
      <c r="L39" s="7"/>
      <c r="M39" s="7">
        <f t="shared" si="4"/>
        <v>2</v>
      </c>
      <c r="N39" s="179">
        <v>2050</v>
      </c>
      <c r="O39" s="7">
        <v>4</v>
      </c>
      <c r="P39" s="118">
        <v>7</v>
      </c>
      <c r="Q39" s="118"/>
      <c r="S39" s="7" t="s">
        <v>173</v>
      </c>
      <c r="T39" s="7">
        <v>0</v>
      </c>
      <c r="U39" s="7">
        <v>0</v>
      </c>
      <c r="V39" s="7"/>
      <c r="W39" s="7">
        <v>3</v>
      </c>
      <c r="Y39" s="7">
        <v>0</v>
      </c>
      <c r="Z39" s="7">
        <v>0</v>
      </c>
    </row>
    <row r="40" spans="2:26">
      <c r="B40" s="7" t="s">
        <v>174</v>
      </c>
      <c r="C40" s="7">
        <v>0</v>
      </c>
      <c r="D40" s="7">
        <v>0</v>
      </c>
      <c r="E40" s="179">
        <v>29</v>
      </c>
      <c r="F40" s="7">
        <v>0</v>
      </c>
      <c r="I40" s="7" t="s">
        <v>174</v>
      </c>
      <c r="J40" s="7">
        <v>0</v>
      </c>
      <c r="K40" s="7">
        <v>0</v>
      </c>
      <c r="L40" s="7"/>
      <c r="M40" s="7">
        <f t="shared" si="4"/>
        <v>7</v>
      </c>
      <c r="N40" s="179">
        <v>2120</v>
      </c>
      <c r="O40" s="7">
        <v>4</v>
      </c>
      <c r="P40" s="118">
        <v>11</v>
      </c>
      <c r="Q40" s="118"/>
      <c r="S40" s="7" t="s">
        <v>174</v>
      </c>
      <c r="T40" s="7">
        <v>0</v>
      </c>
      <c r="U40" s="7">
        <v>0</v>
      </c>
      <c r="V40" s="7"/>
      <c r="W40" s="7">
        <v>2</v>
      </c>
      <c r="Y40" s="7">
        <v>78</v>
      </c>
      <c r="Z40" s="7">
        <v>0</v>
      </c>
    </row>
    <row r="41" spans="2:26">
      <c r="B41" s="7" t="s">
        <v>175</v>
      </c>
      <c r="C41" s="7">
        <v>0</v>
      </c>
      <c r="D41" s="7">
        <v>1</v>
      </c>
      <c r="E41" s="179">
        <v>0</v>
      </c>
      <c r="F41" s="7">
        <v>0</v>
      </c>
      <c r="I41" s="7" t="s">
        <v>175</v>
      </c>
      <c r="J41" s="7">
        <v>0</v>
      </c>
      <c r="K41" s="7">
        <v>0</v>
      </c>
      <c r="L41" s="7"/>
      <c r="M41" s="7">
        <f t="shared" si="4"/>
        <v>9.5</v>
      </c>
      <c r="N41" s="179">
        <v>2300</v>
      </c>
      <c r="O41" s="7">
        <v>4</v>
      </c>
      <c r="P41" s="118">
        <v>13.5</v>
      </c>
      <c r="Q41" s="118"/>
      <c r="S41" s="7" t="s">
        <v>175</v>
      </c>
      <c r="T41" s="7">
        <v>0</v>
      </c>
      <c r="U41" s="7">
        <v>0</v>
      </c>
      <c r="V41" s="7"/>
      <c r="W41" s="7">
        <v>1</v>
      </c>
      <c r="Y41" s="7">
        <v>0</v>
      </c>
      <c r="Z41" s="7">
        <v>1</v>
      </c>
    </row>
    <row r="42" spans="2:26">
      <c r="B42" s="7" t="s">
        <v>176</v>
      </c>
      <c r="C42" s="7">
        <v>0</v>
      </c>
      <c r="D42" s="7">
        <v>0</v>
      </c>
      <c r="E42" s="7">
        <v>0</v>
      </c>
      <c r="F42" s="7">
        <v>0</v>
      </c>
      <c r="I42" s="7" t="s">
        <v>176</v>
      </c>
      <c r="J42" s="7">
        <v>0</v>
      </c>
      <c r="K42" s="7">
        <v>1</v>
      </c>
      <c r="L42" s="7"/>
      <c r="M42" s="7">
        <f t="shared" si="4"/>
        <v>7</v>
      </c>
      <c r="N42" s="179">
        <v>2338</v>
      </c>
      <c r="O42" s="7">
        <v>5</v>
      </c>
      <c r="P42" s="118">
        <v>13</v>
      </c>
      <c r="Q42" s="118"/>
      <c r="S42" s="7" t="s">
        <v>176</v>
      </c>
      <c r="T42" s="7">
        <v>0</v>
      </c>
      <c r="U42" s="7">
        <v>0</v>
      </c>
      <c r="V42" s="7"/>
      <c r="W42" s="7">
        <v>2</v>
      </c>
      <c r="Y42" s="7">
        <v>154</v>
      </c>
      <c r="Z42" s="7">
        <v>2</v>
      </c>
    </row>
    <row r="43" spans="2:26">
      <c r="B43" s="7" t="s">
        <v>177</v>
      </c>
      <c r="C43" s="7">
        <v>0</v>
      </c>
      <c r="D43" s="7">
        <v>0</v>
      </c>
      <c r="E43" s="7">
        <v>0</v>
      </c>
      <c r="F43" s="7">
        <v>0</v>
      </c>
      <c r="I43" s="7" t="s">
        <v>177</v>
      </c>
      <c r="J43" s="7">
        <v>0</v>
      </c>
      <c r="K43" s="7">
        <v>1</v>
      </c>
      <c r="L43" s="7"/>
      <c r="M43" s="7">
        <f t="shared" si="4"/>
        <v>10</v>
      </c>
      <c r="N43" s="179">
        <v>1734</v>
      </c>
      <c r="O43" s="7">
        <v>4</v>
      </c>
      <c r="P43" s="118">
        <v>15</v>
      </c>
      <c r="Q43" s="118"/>
      <c r="S43" s="7" t="s">
        <v>177</v>
      </c>
      <c r="T43" s="7">
        <v>0</v>
      </c>
      <c r="U43" s="7">
        <v>0</v>
      </c>
      <c r="V43" s="7"/>
      <c r="W43" s="7">
        <v>2</v>
      </c>
      <c r="Y43" s="7">
        <v>0</v>
      </c>
      <c r="Z43" s="7">
        <v>1</v>
      </c>
    </row>
    <row r="44" spans="2:26">
      <c r="B44" s="7" t="s">
        <v>178</v>
      </c>
      <c r="C44" s="7">
        <v>0</v>
      </c>
      <c r="D44" s="7">
        <v>0</v>
      </c>
      <c r="E44" s="7">
        <v>0</v>
      </c>
      <c r="F44" s="7">
        <v>0</v>
      </c>
      <c r="I44" s="7" t="s">
        <v>178</v>
      </c>
      <c r="J44" s="7">
        <v>0</v>
      </c>
      <c r="K44" s="7">
        <v>0</v>
      </c>
      <c r="L44" s="7"/>
      <c r="M44" s="7">
        <f t="shared" si="4"/>
        <v>9</v>
      </c>
      <c r="N44" s="179">
        <v>1737</v>
      </c>
      <c r="O44" s="7">
        <v>4</v>
      </c>
      <c r="P44" s="118">
        <v>13</v>
      </c>
      <c r="Q44" s="118"/>
      <c r="S44" s="7" t="s">
        <v>178</v>
      </c>
      <c r="T44" s="7">
        <v>0</v>
      </c>
      <c r="U44" s="7">
        <v>0</v>
      </c>
      <c r="V44" s="7"/>
      <c r="W44" s="7">
        <v>1.5</v>
      </c>
      <c r="Y44" s="7">
        <v>38</v>
      </c>
      <c r="Z44" s="7">
        <v>1</v>
      </c>
    </row>
    <row r="45" spans="2:26">
      <c r="C45" s="180">
        <f t="shared" ref="C45:F45" si="5">AVERAGE(C33:C44)</f>
        <v>2.6666666666666665</v>
      </c>
      <c r="D45" s="180">
        <f t="shared" si="5"/>
        <v>0.16666666666666666</v>
      </c>
      <c r="E45" s="180">
        <f t="shared" si="5"/>
        <v>4.916666666666667</v>
      </c>
      <c r="F45" s="180">
        <f t="shared" si="5"/>
        <v>4.1666666666666664E-2</v>
      </c>
      <c r="G45" s="180"/>
      <c r="J45" s="180">
        <f>AVERAGE(J33:J44)</f>
        <v>5.083333333333333</v>
      </c>
      <c r="K45" s="180">
        <f t="shared" ref="K45:O45" si="6">AVERAGE(K33:K44)</f>
        <v>0.375</v>
      </c>
      <c r="L45" s="182">
        <f>+L69-N45-J45</f>
        <v>1172.4254385964937</v>
      </c>
      <c r="M45" s="180">
        <f t="shared" si="6"/>
        <v>5.625</v>
      </c>
      <c r="N45" s="182">
        <f t="shared" si="6"/>
        <v>1909.3333333333333</v>
      </c>
      <c r="O45" s="180">
        <f t="shared" si="6"/>
        <v>3.5833333333333335</v>
      </c>
      <c r="T45" s="180">
        <f>AVERAGE(T33:T44)</f>
        <v>10.083333333333334</v>
      </c>
      <c r="U45" s="180">
        <f>AVERAGE(U33:U44)</f>
        <v>0.16666666666666666</v>
      </c>
      <c r="V45" s="182">
        <f>+M70</f>
        <v>401.45454545454498</v>
      </c>
      <c r="W45" s="180">
        <f t="shared" ref="W45:Z45" si="7">AVERAGE(W33:W44)</f>
        <v>2.0833333333333335</v>
      </c>
      <c r="Y45" s="180">
        <f t="shared" si="7"/>
        <v>29.25</v>
      </c>
      <c r="Z45" s="180">
        <f t="shared" si="7"/>
        <v>0.5</v>
      </c>
    </row>
    <row r="46" spans="2:26">
      <c r="L46" s="21">
        <f>L45/19*11</f>
        <v>678.77262234533839</v>
      </c>
      <c r="V46" s="25"/>
      <c r="W46" s="189">
        <f>W45/7</f>
        <v>0.29761904761904762</v>
      </c>
    </row>
    <row r="49" spans="2:24" ht="21.75" customHeight="1">
      <c r="C49" s="317" t="s">
        <v>163</v>
      </c>
      <c r="D49" s="317"/>
      <c r="E49" s="318" t="s">
        <v>162</v>
      </c>
      <c r="F49" s="319"/>
      <c r="G49" s="181"/>
      <c r="J49" s="312" t="s">
        <v>186</v>
      </c>
      <c r="K49" s="312"/>
      <c r="L49" s="317" t="s">
        <v>165</v>
      </c>
      <c r="M49" s="317"/>
      <c r="N49" s="185"/>
      <c r="O49" s="185"/>
      <c r="P49" s="185"/>
      <c r="Q49" s="185"/>
      <c r="T49" s="317" t="s">
        <v>163</v>
      </c>
      <c r="U49" s="317"/>
      <c r="V49" s="317" t="s">
        <v>162</v>
      </c>
      <c r="W49" s="317"/>
    </row>
    <row r="50" spans="2:24" ht="30">
      <c r="B50" s="178" t="s">
        <v>10</v>
      </c>
      <c r="C50" s="162" t="s">
        <v>188</v>
      </c>
      <c r="D50" s="176" t="s">
        <v>189</v>
      </c>
      <c r="E50" s="162" t="s">
        <v>188</v>
      </c>
      <c r="F50" s="176" t="s">
        <v>189</v>
      </c>
      <c r="G50" s="177"/>
      <c r="I50" s="178" t="s">
        <v>15</v>
      </c>
      <c r="J50" s="162" t="s">
        <v>188</v>
      </c>
      <c r="K50" s="176" t="s">
        <v>189</v>
      </c>
      <c r="L50" s="162" t="s">
        <v>188</v>
      </c>
      <c r="M50" s="176" t="s">
        <v>189</v>
      </c>
      <c r="N50" s="187"/>
      <c r="O50" s="187"/>
      <c r="P50" s="187"/>
      <c r="Q50" s="187"/>
      <c r="S50" s="194" t="s">
        <v>17</v>
      </c>
      <c r="T50" s="162" t="s">
        <v>188</v>
      </c>
      <c r="U50" s="176" t="s">
        <v>189</v>
      </c>
      <c r="V50" s="162" t="s">
        <v>188</v>
      </c>
      <c r="W50" s="176" t="s">
        <v>189</v>
      </c>
    </row>
    <row r="51" spans="2:24">
      <c r="B51" s="7" t="s">
        <v>167</v>
      </c>
      <c r="C51" s="179"/>
      <c r="D51" s="7">
        <f>+H51-F51-F33-D33</f>
        <v>6.5</v>
      </c>
      <c r="E51" s="179">
        <v>58</v>
      </c>
      <c r="F51" s="7">
        <v>5</v>
      </c>
      <c r="H51">
        <v>11.5</v>
      </c>
      <c r="I51" s="7" t="s">
        <v>167</v>
      </c>
      <c r="J51" s="179">
        <v>521</v>
      </c>
      <c r="K51" s="7">
        <v>1</v>
      </c>
      <c r="L51" s="179">
        <v>1219</v>
      </c>
      <c r="M51" s="7">
        <v>2</v>
      </c>
      <c r="N51" s="118">
        <v>3</v>
      </c>
      <c r="O51" s="118"/>
      <c r="P51" s="118"/>
      <c r="Q51" s="118"/>
      <c r="S51" s="7" t="s">
        <v>167</v>
      </c>
      <c r="T51" s="179">
        <v>133</v>
      </c>
      <c r="U51" s="7">
        <f>+X51-W51-U33-Z33</f>
        <v>2</v>
      </c>
      <c r="V51" s="179">
        <v>1665</v>
      </c>
      <c r="W51" s="7">
        <v>4</v>
      </c>
      <c r="X51">
        <v>7.5</v>
      </c>
    </row>
    <row r="52" spans="2:24">
      <c r="B52" s="7" t="s">
        <v>168</v>
      </c>
      <c r="C52" s="179"/>
      <c r="D52" s="7">
        <f t="shared" ref="D52:D62" si="8">+H52-F52-F34-D34</f>
        <v>5</v>
      </c>
      <c r="E52" s="179">
        <v>99</v>
      </c>
      <c r="F52" s="7">
        <v>4</v>
      </c>
      <c r="H52">
        <v>9.5</v>
      </c>
      <c r="I52" s="7" t="s">
        <v>168</v>
      </c>
      <c r="J52" s="179">
        <v>216</v>
      </c>
      <c r="K52" s="7">
        <v>1</v>
      </c>
      <c r="L52" s="179">
        <v>1433</v>
      </c>
      <c r="M52" s="7">
        <v>2</v>
      </c>
      <c r="N52" s="118">
        <v>3</v>
      </c>
      <c r="O52" s="118"/>
      <c r="P52" s="118"/>
      <c r="Q52" s="118"/>
      <c r="S52" s="7" t="s">
        <v>168</v>
      </c>
      <c r="T52" s="179">
        <v>152</v>
      </c>
      <c r="U52" s="7">
        <f t="shared" ref="U52:U62" si="9">+X52-W52-U34-Z34</f>
        <v>1</v>
      </c>
      <c r="V52" s="179">
        <v>1184</v>
      </c>
      <c r="W52" s="7">
        <v>4</v>
      </c>
      <c r="X52">
        <v>5.5</v>
      </c>
    </row>
    <row r="53" spans="2:24">
      <c r="B53" s="7" t="s">
        <v>169</v>
      </c>
      <c r="C53" s="179"/>
      <c r="D53" s="7">
        <f t="shared" si="8"/>
        <v>6</v>
      </c>
      <c r="E53" s="179">
        <v>96</v>
      </c>
      <c r="F53" s="7">
        <v>5</v>
      </c>
      <c r="H53">
        <v>11</v>
      </c>
      <c r="I53" s="7" t="s">
        <v>169</v>
      </c>
      <c r="J53" s="179">
        <v>83</v>
      </c>
      <c r="K53" s="7">
        <v>2</v>
      </c>
      <c r="L53" s="179">
        <v>1266</v>
      </c>
      <c r="M53" s="7">
        <v>3</v>
      </c>
      <c r="N53" s="118">
        <v>5</v>
      </c>
      <c r="O53" s="118"/>
      <c r="P53" s="118"/>
      <c r="Q53" s="118"/>
      <c r="S53" s="7" t="s">
        <v>169</v>
      </c>
      <c r="T53" s="179">
        <v>71</v>
      </c>
      <c r="U53" s="7">
        <f t="shared" si="9"/>
        <v>1</v>
      </c>
      <c r="V53" s="179">
        <v>1554</v>
      </c>
      <c r="W53" s="7">
        <v>4</v>
      </c>
      <c r="X53">
        <v>5</v>
      </c>
    </row>
    <row r="54" spans="2:24">
      <c r="B54" s="7" t="s">
        <v>170</v>
      </c>
      <c r="C54" s="179"/>
      <c r="D54" s="7">
        <f t="shared" si="8"/>
        <v>3</v>
      </c>
      <c r="E54" s="179">
        <v>0</v>
      </c>
      <c r="F54" s="7">
        <v>4</v>
      </c>
      <c r="H54">
        <v>7</v>
      </c>
      <c r="I54" s="7" t="s">
        <v>170</v>
      </c>
      <c r="J54" s="179">
        <v>202</v>
      </c>
      <c r="K54" s="7">
        <v>0.5</v>
      </c>
      <c r="L54" s="179">
        <v>1516</v>
      </c>
      <c r="M54" s="7">
        <v>2</v>
      </c>
      <c r="N54" s="118">
        <v>2.5</v>
      </c>
      <c r="O54" s="118"/>
      <c r="P54" s="118"/>
      <c r="Q54" s="118"/>
      <c r="S54" s="7" t="s">
        <v>170</v>
      </c>
      <c r="T54" s="179">
        <v>135</v>
      </c>
      <c r="U54" s="7">
        <f t="shared" si="9"/>
        <v>1</v>
      </c>
      <c r="V54" s="179">
        <v>1739</v>
      </c>
      <c r="W54" s="7">
        <v>4</v>
      </c>
      <c r="X54">
        <v>5</v>
      </c>
    </row>
    <row r="55" spans="2:24">
      <c r="B55" s="7" t="s">
        <v>171</v>
      </c>
      <c r="C55" s="179"/>
      <c r="D55" s="7">
        <f t="shared" si="8"/>
        <v>4</v>
      </c>
      <c r="E55" s="179">
        <v>0</v>
      </c>
      <c r="F55" s="7">
        <v>5</v>
      </c>
      <c r="H55">
        <v>9</v>
      </c>
      <c r="I55" s="7" t="s">
        <v>171</v>
      </c>
      <c r="J55" s="179">
        <v>243</v>
      </c>
      <c r="K55" s="7">
        <v>2</v>
      </c>
      <c r="L55" s="179">
        <v>1462</v>
      </c>
      <c r="M55" s="7">
        <v>3</v>
      </c>
      <c r="N55" s="118">
        <v>5</v>
      </c>
      <c r="O55" s="118"/>
      <c r="P55" s="118"/>
      <c r="Q55" s="118"/>
      <c r="S55" s="7" t="s">
        <v>171</v>
      </c>
      <c r="T55" s="179">
        <v>246</v>
      </c>
      <c r="U55" s="7">
        <f t="shared" si="9"/>
        <v>3</v>
      </c>
      <c r="V55" s="179">
        <v>1486</v>
      </c>
      <c r="W55" s="7">
        <v>5</v>
      </c>
      <c r="X55">
        <v>8</v>
      </c>
    </row>
    <row r="56" spans="2:24">
      <c r="B56" s="7" t="s">
        <v>172</v>
      </c>
      <c r="C56" s="179"/>
      <c r="D56" s="7">
        <f t="shared" si="8"/>
        <v>6</v>
      </c>
      <c r="E56" s="179">
        <v>36</v>
      </c>
      <c r="F56" s="7">
        <v>5</v>
      </c>
      <c r="H56">
        <v>11</v>
      </c>
      <c r="I56" s="7" t="s">
        <v>172</v>
      </c>
      <c r="J56" s="179">
        <v>286</v>
      </c>
      <c r="K56" s="7">
        <v>1</v>
      </c>
      <c r="L56" s="179">
        <v>1960</v>
      </c>
      <c r="M56" s="7">
        <v>4</v>
      </c>
      <c r="N56" s="118">
        <v>5</v>
      </c>
      <c r="O56" s="118"/>
      <c r="P56" s="118"/>
      <c r="Q56" s="118"/>
      <c r="S56" s="7" t="s">
        <v>172</v>
      </c>
      <c r="T56" s="179">
        <v>260</v>
      </c>
      <c r="U56" s="7">
        <f t="shared" si="9"/>
        <v>2</v>
      </c>
      <c r="V56" s="179">
        <v>2072</v>
      </c>
      <c r="W56" s="7">
        <v>5</v>
      </c>
      <c r="X56">
        <v>8</v>
      </c>
    </row>
    <row r="57" spans="2:24">
      <c r="B57" s="7" t="s">
        <v>173</v>
      </c>
      <c r="C57" s="179"/>
      <c r="D57" s="7">
        <f t="shared" si="8"/>
        <v>4</v>
      </c>
      <c r="E57" s="179">
        <v>50</v>
      </c>
      <c r="F57" s="7">
        <v>5</v>
      </c>
      <c r="H57">
        <v>10</v>
      </c>
      <c r="I57" s="7" t="s">
        <v>173</v>
      </c>
      <c r="J57" s="179">
        <v>376</v>
      </c>
      <c r="K57" s="7">
        <v>0</v>
      </c>
      <c r="L57" s="179">
        <v>1748</v>
      </c>
      <c r="M57" s="7">
        <v>3</v>
      </c>
      <c r="N57" s="118">
        <v>3</v>
      </c>
      <c r="O57" s="118"/>
      <c r="P57" s="118"/>
      <c r="Q57" s="118"/>
      <c r="S57" s="7" t="s">
        <v>173</v>
      </c>
      <c r="T57" s="179">
        <v>0</v>
      </c>
      <c r="U57" s="7">
        <f t="shared" si="9"/>
        <v>0</v>
      </c>
      <c r="V57" s="179">
        <v>1736</v>
      </c>
      <c r="W57" s="7">
        <v>4</v>
      </c>
      <c r="X57">
        <v>4</v>
      </c>
    </row>
    <row r="58" spans="2:24">
      <c r="B58" s="7" t="s">
        <v>174</v>
      </c>
      <c r="C58" s="179"/>
      <c r="D58" s="7">
        <f t="shared" si="8"/>
        <v>2.5</v>
      </c>
      <c r="E58" s="179">
        <v>0</v>
      </c>
      <c r="F58" s="7">
        <v>8</v>
      </c>
      <c r="H58">
        <v>10.5</v>
      </c>
      <c r="I58" s="7" t="s">
        <v>174</v>
      </c>
      <c r="J58" s="179">
        <v>894</v>
      </c>
      <c r="K58" s="7">
        <v>0</v>
      </c>
      <c r="L58" s="179">
        <v>1776</v>
      </c>
      <c r="M58" s="7">
        <v>4</v>
      </c>
      <c r="N58" s="118">
        <v>4</v>
      </c>
      <c r="O58" s="118"/>
      <c r="P58" s="118"/>
      <c r="Q58" s="118"/>
      <c r="S58" s="7" t="s">
        <v>174</v>
      </c>
      <c r="T58" s="179">
        <v>490</v>
      </c>
      <c r="U58" s="7">
        <f t="shared" si="9"/>
        <v>5</v>
      </c>
      <c r="V58" s="179">
        <v>2021</v>
      </c>
      <c r="W58" s="7">
        <v>7</v>
      </c>
      <c r="X58">
        <v>12</v>
      </c>
    </row>
    <row r="59" spans="2:24">
      <c r="B59" s="7" t="s">
        <v>175</v>
      </c>
      <c r="C59" s="179"/>
      <c r="D59" s="7">
        <f t="shared" si="8"/>
        <v>2</v>
      </c>
      <c r="E59" s="179">
        <v>0</v>
      </c>
      <c r="F59" s="7">
        <v>6</v>
      </c>
      <c r="H59">
        <v>9</v>
      </c>
      <c r="I59" s="7" t="s">
        <v>175</v>
      </c>
      <c r="J59" s="179">
        <v>73</v>
      </c>
      <c r="K59" s="7">
        <v>0</v>
      </c>
      <c r="L59" s="179">
        <v>1638</v>
      </c>
      <c r="M59" s="7">
        <v>3</v>
      </c>
      <c r="N59" s="118">
        <v>3</v>
      </c>
      <c r="O59" s="118"/>
      <c r="P59" s="118"/>
      <c r="Q59" s="118"/>
      <c r="S59" s="7" t="s">
        <v>175</v>
      </c>
      <c r="T59" s="179">
        <v>132</v>
      </c>
      <c r="U59" s="7">
        <f t="shared" si="9"/>
        <v>1</v>
      </c>
      <c r="V59" s="179">
        <v>1740</v>
      </c>
      <c r="W59" s="7">
        <v>4</v>
      </c>
      <c r="X59">
        <v>6</v>
      </c>
    </row>
    <row r="60" spans="2:24">
      <c r="B60" s="7" t="s">
        <v>176</v>
      </c>
      <c r="C60" s="179"/>
      <c r="D60" s="7">
        <f t="shared" si="8"/>
        <v>0</v>
      </c>
      <c r="E60" s="179">
        <v>0</v>
      </c>
      <c r="F60" s="7">
        <v>6</v>
      </c>
      <c r="H60">
        <v>6</v>
      </c>
      <c r="I60" s="7" t="s">
        <v>176</v>
      </c>
      <c r="J60" s="179">
        <v>328</v>
      </c>
      <c r="K60" s="7">
        <v>3</v>
      </c>
      <c r="L60" s="179">
        <v>1724</v>
      </c>
      <c r="M60" s="7">
        <v>2</v>
      </c>
      <c r="N60" s="118">
        <v>5</v>
      </c>
      <c r="O60" s="118"/>
      <c r="P60" s="118"/>
      <c r="Q60" s="118"/>
      <c r="S60" s="7" t="s">
        <v>176</v>
      </c>
      <c r="T60" s="179">
        <v>204</v>
      </c>
      <c r="U60" s="7">
        <f t="shared" si="9"/>
        <v>0</v>
      </c>
      <c r="V60" s="179">
        <v>1665</v>
      </c>
      <c r="W60" s="7">
        <v>4</v>
      </c>
      <c r="X60">
        <v>6</v>
      </c>
    </row>
    <row r="61" spans="2:24">
      <c r="B61" s="7" t="s">
        <v>177</v>
      </c>
      <c r="C61" s="179"/>
      <c r="D61" s="7">
        <f t="shared" si="8"/>
        <v>3</v>
      </c>
      <c r="E61" s="179">
        <v>102</v>
      </c>
      <c r="F61" s="7">
        <v>8</v>
      </c>
      <c r="H61">
        <v>11</v>
      </c>
      <c r="I61" s="7" t="s">
        <v>177</v>
      </c>
      <c r="J61" s="179">
        <v>236</v>
      </c>
      <c r="K61" s="7">
        <v>3</v>
      </c>
      <c r="L61" s="179">
        <v>1732</v>
      </c>
      <c r="M61" s="7">
        <v>6</v>
      </c>
      <c r="N61" s="118">
        <v>9</v>
      </c>
      <c r="O61" s="118"/>
      <c r="P61" s="118"/>
      <c r="Q61" s="118"/>
      <c r="S61" s="7" t="s">
        <v>177</v>
      </c>
      <c r="T61" s="179">
        <v>179</v>
      </c>
      <c r="U61" s="7">
        <f t="shared" si="9"/>
        <v>1</v>
      </c>
      <c r="V61" s="179">
        <v>1810</v>
      </c>
      <c r="W61" s="7">
        <v>7</v>
      </c>
      <c r="X61">
        <v>9</v>
      </c>
    </row>
    <row r="62" spans="2:24">
      <c r="B62" s="7" t="s">
        <v>178</v>
      </c>
      <c r="C62" s="179"/>
      <c r="D62" s="7">
        <f t="shared" si="8"/>
        <v>4.5</v>
      </c>
      <c r="E62" s="179">
        <v>75</v>
      </c>
      <c r="F62" s="7">
        <v>5</v>
      </c>
      <c r="H62">
        <v>9.5</v>
      </c>
      <c r="I62" s="7" t="s">
        <v>178</v>
      </c>
      <c r="J62" s="179">
        <v>234</v>
      </c>
      <c r="K62" s="7">
        <v>0.5</v>
      </c>
      <c r="L62" s="179">
        <v>1892</v>
      </c>
      <c r="M62" s="7">
        <v>3</v>
      </c>
      <c r="N62" s="118">
        <v>3.5</v>
      </c>
      <c r="O62" s="118"/>
      <c r="P62" s="118"/>
      <c r="Q62" s="118"/>
      <c r="S62" s="7" t="s">
        <v>178</v>
      </c>
      <c r="T62" s="179">
        <v>123</v>
      </c>
      <c r="U62" s="7">
        <f t="shared" si="9"/>
        <v>2</v>
      </c>
      <c r="V62" s="179">
        <v>1665</v>
      </c>
      <c r="W62" s="7">
        <v>4</v>
      </c>
      <c r="X62">
        <v>7</v>
      </c>
    </row>
    <row r="63" spans="2:24">
      <c r="C63" s="182">
        <f>+K69-E63</f>
        <v>41.736842105263193</v>
      </c>
      <c r="D63" s="182">
        <f t="shared" ref="D63:F63" si="10">AVERAGE(D51:D62)</f>
        <v>3.875</v>
      </c>
      <c r="E63" s="182">
        <f t="shared" si="10"/>
        <v>43</v>
      </c>
      <c r="F63" s="182">
        <f t="shared" si="10"/>
        <v>5.5</v>
      </c>
      <c r="G63" s="182"/>
      <c r="J63" s="182">
        <f t="shared" ref="J63:M63" si="11">AVERAGE(J51:J62)</f>
        <v>307.66666666666669</v>
      </c>
      <c r="K63" s="188">
        <f t="shared" si="11"/>
        <v>1.1666666666666667</v>
      </c>
      <c r="L63" s="182">
        <f t="shared" si="11"/>
        <v>1613.8333333333333</v>
      </c>
      <c r="M63" s="182">
        <f t="shared" si="11"/>
        <v>3.0833333333333335</v>
      </c>
      <c r="T63" s="182">
        <f>AVERAGE(T51:T62)</f>
        <v>177.08333333333334</v>
      </c>
      <c r="U63" s="182">
        <f>AVERAGE(U51:U62)</f>
        <v>1.5833333333333333</v>
      </c>
      <c r="V63" s="182">
        <f>AVERAGE(V51:V62)</f>
        <v>1694.75</v>
      </c>
      <c r="W63" s="182">
        <f>AVERAGE(W51:W62)</f>
        <v>4.666666666666667</v>
      </c>
    </row>
    <row r="64" spans="2:24">
      <c r="J64" s="25" t="s">
        <v>219</v>
      </c>
      <c r="K64" s="189">
        <f>K63/7</f>
        <v>0.16666666666666669</v>
      </c>
      <c r="L64" s="25"/>
      <c r="M64" s="25"/>
      <c r="T64" s="21">
        <f>T63/6*4</f>
        <v>118.05555555555556</v>
      </c>
      <c r="U64" s="195"/>
      <c r="V64" s="196"/>
      <c r="W64" s="196"/>
    </row>
    <row r="65" spans="4:23">
      <c r="T65" s="195"/>
      <c r="U65" s="195"/>
      <c r="V65" s="196"/>
      <c r="W65" s="196"/>
    </row>
    <row r="66" spans="4:23">
      <c r="T66" s="195"/>
      <c r="U66" s="195"/>
      <c r="V66" s="196"/>
      <c r="W66" s="196"/>
    </row>
    <row r="67" spans="4:23">
      <c r="E67" s="312" t="s">
        <v>186</v>
      </c>
      <c r="F67" s="312"/>
      <c r="G67" s="177"/>
      <c r="J67" t="s">
        <v>183</v>
      </c>
    </row>
    <row r="68" spans="4:23" ht="30">
      <c r="D68" s="178" t="s">
        <v>10</v>
      </c>
      <c r="E68" s="162" t="s">
        <v>188</v>
      </c>
      <c r="F68" s="176" t="s">
        <v>189</v>
      </c>
      <c r="G68" s="177"/>
      <c r="J68" s="204" t="s">
        <v>191</v>
      </c>
      <c r="K68" s="204" t="s">
        <v>10</v>
      </c>
      <c r="L68" s="204" t="s">
        <v>15</v>
      </c>
      <c r="M68" s="204" t="s">
        <v>17</v>
      </c>
    </row>
    <row r="69" spans="4:23">
      <c r="D69" s="7" t="s">
        <v>167</v>
      </c>
      <c r="E69" s="7"/>
      <c r="F69" s="197">
        <v>4</v>
      </c>
      <c r="G69" s="198"/>
      <c r="J69" s="8" t="s">
        <v>4</v>
      </c>
      <c r="K69" s="8">
        <v>84.736842105263193</v>
      </c>
      <c r="L69" s="8">
        <v>3086.8421052631602</v>
      </c>
      <c r="M69" s="8">
        <v>1795.6140350877199</v>
      </c>
    </row>
    <row r="70" spans="4:23">
      <c r="D70" s="7" t="s">
        <v>168</v>
      </c>
      <c r="E70" s="7"/>
      <c r="F70" s="197">
        <v>0</v>
      </c>
      <c r="G70" s="198"/>
      <c r="J70" s="8" t="s">
        <v>5</v>
      </c>
      <c r="K70" s="8">
        <v>3</v>
      </c>
      <c r="L70" s="8">
        <v>1961.27272727273</v>
      </c>
      <c r="M70" s="8">
        <v>401.45454545454498</v>
      </c>
    </row>
    <row r="71" spans="4:23">
      <c r="D71" s="7" t="s">
        <v>169</v>
      </c>
      <c r="E71" s="7"/>
      <c r="F71" s="197">
        <v>0</v>
      </c>
      <c r="G71" s="198"/>
    </row>
    <row r="72" spans="4:23">
      <c r="D72" s="7" t="s">
        <v>170</v>
      </c>
      <c r="E72" s="7"/>
      <c r="F72" s="197">
        <v>1</v>
      </c>
      <c r="G72" s="198"/>
    </row>
    <row r="73" spans="4:23">
      <c r="D73" s="7" t="s">
        <v>171</v>
      </c>
      <c r="E73" s="7"/>
      <c r="F73" s="197">
        <v>2</v>
      </c>
      <c r="G73" s="198"/>
    </row>
    <row r="74" spans="4:23">
      <c r="D74" s="7" t="s">
        <v>172</v>
      </c>
      <c r="E74" s="7"/>
      <c r="F74" s="197">
        <v>0</v>
      </c>
      <c r="G74" s="198"/>
    </row>
    <row r="75" spans="4:23">
      <c r="D75" s="7" t="s">
        <v>173</v>
      </c>
      <c r="E75" s="7"/>
      <c r="F75" s="197">
        <v>2</v>
      </c>
      <c r="G75" s="198"/>
    </row>
    <row r="76" spans="4:23">
      <c r="D76" s="7" t="s">
        <v>174</v>
      </c>
      <c r="E76" s="7"/>
      <c r="F76" s="197">
        <v>6</v>
      </c>
      <c r="G76" s="198"/>
    </row>
    <row r="77" spans="4:23">
      <c r="D77" s="7" t="s">
        <v>175</v>
      </c>
      <c r="E77" s="7"/>
      <c r="F77" s="197">
        <v>7</v>
      </c>
      <c r="G77" s="198"/>
    </row>
    <row r="78" spans="4:23">
      <c r="D78" s="7" t="s">
        <v>176</v>
      </c>
      <c r="E78" s="7"/>
      <c r="F78" s="197">
        <v>5</v>
      </c>
      <c r="G78" s="198"/>
    </row>
    <row r="79" spans="4:23">
      <c r="D79" s="7" t="s">
        <v>177</v>
      </c>
      <c r="E79" s="7"/>
      <c r="F79" s="197">
        <v>5</v>
      </c>
      <c r="G79" s="198"/>
    </row>
    <row r="80" spans="4:23">
      <c r="D80" s="7" t="s">
        <v>178</v>
      </c>
      <c r="E80" s="7"/>
      <c r="F80" s="197">
        <v>2</v>
      </c>
      <c r="G80" s="198"/>
    </row>
    <row r="81" spans="2:13">
      <c r="E81" s="182">
        <f>+K70</f>
        <v>3</v>
      </c>
      <c r="F81" s="182">
        <f t="shared" ref="F81" si="12">AVERAGE(F69:F80)</f>
        <v>2.8333333333333335</v>
      </c>
      <c r="G81" s="182"/>
    </row>
    <row r="82" spans="2:13">
      <c r="F82" s="199">
        <f>F81/11</f>
        <v>0.25757575757575757</v>
      </c>
    </row>
    <row r="85" spans="2:13" ht="30">
      <c r="B85" s="7"/>
      <c r="C85" s="7"/>
      <c r="D85" s="200" t="s">
        <v>158</v>
      </c>
      <c r="E85" s="200" t="s">
        <v>188</v>
      </c>
      <c r="F85" s="200" t="s">
        <v>189</v>
      </c>
    </row>
    <row r="86" spans="2:13">
      <c r="B86" s="282" t="s">
        <v>10</v>
      </c>
      <c r="C86" s="7" t="s">
        <v>185</v>
      </c>
      <c r="D86" s="7">
        <v>22</v>
      </c>
      <c r="E86" s="7">
        <v>3</v>
      </c>
      <c r="F86" s="7"/>
    </row>
    <row r="87" spans="2:13">
      <c r="B87" s="283"/>
      <c r="C87" s="7" t="s">
        <v>159</v>
      </c>
      <c r="D87" s="7">
        <v>11</v>
      </c>
      <c r="E87" s="7">
        <v>5</v>
      </c>
      <c r="F87" s="7"/>
    </row>
    <row r="88" spans="2:13">
      <c r="B88" s="283"/>
      <c r="C88" s="7" t="s">
        <v>163</v>
      </c>
      <c r="D88" s="7">
        <v>373</v>
      </c>
      <c r="E88" s="7">
        <v>42</v>
      </c>
      <c r="F88" s="7">
        <v>4</v>
      </c>
    </row>
    <row r="89" spans="2:13">
      <c r="B89" s="283"/>
      <c r="C89" s="7" t="s">
        <v>162</v>
      </c>
      <c r="D89" s="7">
        <v>8</v>
      </c>
      <c r="E89" s="7">
        <v>43</v>
      </c>
      <c r="F89" s="7">
        <v>6</v>
      </c>
      <c r="G89">
        <f>SUM(E86:E89)</f>
        <v>93</v>
      </c>
      <c r="H89">
        <v>3086</v>
      </c>
      <c r="I89">
        <v>1911</v>
      </c>
      <c r="K89">
        <f>+F88+F89</f>
        <v>10</v>
      </c>
      <c r="L89">
        <f>+F92+F93</f>
        <v>10</v>
      </c>
      <c r="M89">
        <f>+F97+F98+F100</f>
        <v>7.5</v>
      </c>
    </row>
    <row r="90" spans="2:13">
      <c r="B90" s="284"/>
      <c r="C90" s="7" t="s">
        <v>161</v>
      </c>
      <c r="D90" s="7">
        <v>177</v>
      </c>
      <c r="E90" s="7">
        <v>4</v>
      </c>
      <c r="F90" s="7">
        <v>3</v>
      </c>
      <c r="K90">
        <f>+F90</f>
        <v>3</v>
      </c>
      <c r="L90">
        <f>+F94+F95</f>
        <v>4</v>
      </c>
      <c r="M90">
        <f>+F99</f>
        <v>2</v>
      </c>
    </row>
    <row r="91" spans="2:13">
      <c r="B91" s="282" t="s">
        <v>15</v>
      </c>
      <c r="C91" s="7" t="s">
        <v>159</v>
      </c>
      <c r="D91" s="7">
        <v>33</v>
      </c>
      <c r="E91" s="7">
        <v>5</v>
      </c>
      <c r="F91" s="7"/>
    </row>
    <row r="92" spans="2:13">
      <c r="B92" s="283"/>
      <c r="C92" s="7" t="s">
        <v>163</v>
      </c>
      <c r="D92" s="7">
        <v>733</v>
      </c>
      <c r="E92" s="7">
        <v>1172</v>
      </c>
      <c r="F92" s="7">
        <v>6</v>
      </c>
    </row>
    <row r="93" spans="2:13">
      <c r="B93" s="283"/>
      <c r="C93" s="7" t="s">
        <v>162</v>
      </c>
      <c r="D93" s="7">
        <v>84</v>
      </c>
      <c r="E93" s="7">
        <v>1909</v>
      </c>
      <c r="F93" s="7">
        <v>4</v>
      </c>
      <c r="G93">
        <f>SUM(E91:E93)</f>
        <v>3086</v>
      </c>
    </row>
    <row r="94" spans="2:13">
      <c r="B94" s="283"/>
      <c r="C94" s="7" t="s">
        <v>164</v>
      </c>
      <c r="D94" s="7">
        <v>218</v>
      </c>
      <c r="E94" s="7">
        <v>308</v>
      </c>
      <c r="F94" s="7">
        <v>1</v>
      </c>
    </row>
    <row r="95" spans="2:13">
      <c r="B95" s="284"/>
      <c r="C95" s="7" t="s">
        <v>165</v>
      </c>
      <c r="D95" s="7">
        <v>62</v>
      </c>
      <c r="E95" s="7">
        <v>1614</v>
      </c>
      <c r="F95" s="7">
        <v>3</v>
      </c>
    </row>
    <row r="96" spans="2:13">
      <c r="B96" s="282" t="s">
        <v>17</v>
      </c>
      <c r="C96" s="7" t="s">
        <v>159</v>
      </c>
      <c r="D96" s="7">
        <v>12</v>
      </c>
      <c r="E96" s="7">
        <v>10</v>
      </c>
      <c r="F96" s="7"/>
    </row>
    <row r="97" spans="2:8">
      <c r="B97" s="283"/>
      <c r="C97" s="7" t="s">
        <v>163</v>
      </c>
      <c r="D97" s="7">
        <v>144</v>
      </c>
      <c r="E97" s="7">
        <v>177</v>
      </c>
      <c r="F97" s="7">
        <v>2</v>
      </c>
    </row>
    <row r="98" spans="2:8">
      <c r="B98" s="283"/>
      <c r="C98" s="7" t="s">
        <v>162</v>
      </c>
      <c r="D98" s="7">
        <v>72</v>
      </c>
      <c r="E98" s="7">
        <v>1695</v>
      </c>
      <c r="F98" s="7">
        <v>5</v>
      </c>
      <c r="G98">
        <f>SUM(E96:E98,E100)</f>
        <v>1911</v>
      </c>
    </row>
    <row r="99" spans="2:8">
      <c r="B99" s="283"/>
      <c r="C99" s="7" t="s">
        <v>164</v>
      </c>
      <c r="D99" s="7">
        <v>137</v>
      </c>
      <c r="E99" s="7">
        <v>401</v>
      </c>
      <c r="F99" s="7">
        <v>2</v>
      </c>
    </row>
    <row r="100" spans="2:8">
      <c r="B100" s="284"/>
      <c r="C100" s="7" t="s">
        <v>220</v>
      </c>
      <c r="D100" s="7">
        <v>25</v>
      </c>
      <c r="E100" s="7">
        <v>29</v>
      </c>
      <c r="F100" s="7">
        <v>0.5</v>
      </c>
    </row>
    <row r="103" spans="2:8" ht="45">
      <c r="B103" s="131" t="s">
        <v>95</v>
      </c>
      <c r="C103" s="131" t="s">
        <v>39</v>
      </c>
      <c r="D103" s="200" t="s">
        <v>221</v>
      </c>
      <c r="E103" s="200" t="s">
        <v>222</v>
      </c>
      <c r="F103" s="200" t="s">
        <v>223</v>
      </c>
      <c r="G103" s="200" t="s">
        <v>224</v>
      </c>
      <c r="H103" s="200" t="s">
        <v>8</v>
      </c>
    </row>
    <row r="104" spans="2:8">
      <c r="B104" s="282" t="s">
        <v>10</v>
      </c>
      <c r="C104" s="7" t="s">
        <v>185</v>
      </c>
      <c r="D104" s="202">
        <v>2000</v>
      </c>
      <c r="E104" s="202"/>
      <c r="F104" s="202"/>
      <c r="G104" s="202"/>
      <c r="H104" s="8"/>
    </row>
    <row r="105" spans="2:8">
      <c r="B105" s="283"/>
      <c r="C105" s="7" t="s">
        <v>159</v>
      </c>
      <c r="D105" s="202"/>
      <c r="E105" s="202"/>
      <c r="F105" s="202"/>
      <c r="G105" s="202"/>
      <c r="H105" s="8"/>
    </row>
    <row r="106" spans="2:8">
      <c r="B106" s="283"/>
      <c r="C106" s="7" t="s">
        <v>163</v>
      </c>
      <c r="D106" s="202"/>
      <c r="E106" s="202"/>
      <c r="F106" s="202"/>
      <c r="G106" s="202"/>
      <c r="H106" s="8"/>
    </row>
    <row r="107" spans="2:8">
      <c r="B107" s="283"/>
      <c r="C107" s="7" t="s">
        <v>162</v>
      </c>
      <c r="D107" s="202"/>
      <c r="E107" s="202"/>
      <c r="F107" s="202"/>
      <c r="G107" s="202"/>
      <c r="H107" s="8"/>
    </row>
    <row r="108" spans="2:8">
      <c r="B108" s="284"/>
      <c r="C108" s="7" t="s">
        <v>164</v>
      </c>
      <c r="D108" s="202"/>
      <c r="E108" s="202"/>
      <c r="F108" s="202"/>
      <c r="G108" s="202"/>
      <c r="H108" s="8"/>
    </row>
    <row r="109" spans="2:8">
      <c r="B109" s="282" t="s">
        <v>15</v>
      </c>
      <c r="C109" s="7" t="s">
        <v>159</v>
      </c>
      <c r="D109" s="202"/>
      <c r="E109" s="202"/>
      <c r="F109" s="202"/>
      <c r="G109" s="202"/>
      <c r="H109" s="8"/>
    </row>
    <row r="110" spans="2:8">
      <c r="B110" s="283"/>
      <c r="C110" s="7" t="s">
        <v>163</v>
      </c>
      <c r="D110" s="202"/>
      <c r="E110" s="202"/>
      <c r="F110" s="202"/>
      <c r="G110" s="202"/>
      <c r="H110" s="8"/>
    </row>
    <row r="111" spans="2:8">
      <c r="B111" s="283"/>
      <c r="C111" s="7" t="s">
        <v>162</v>
      </c>
      <c r="D111" s="202"/>
      <c r="E111" s="202"/>
      <c r="F111" s="202"/>
      <c r="G111" s="202"/>
      <c r="H111" s="8"/>
    </row>
    <row r="112" spans="2:8">
      <c r="B112" s="283"/>
      <c r="C112" s="7" t="s">
        <v>164</v>
      </c>
      <c r="D112" s="202"/>
      <c r="E112" s="202"/>
      <c r="F112" s="202"/>
      <c r="G112" s="202"/>
      <c r="H112" s="8"/>
    </row>
    <row r="113" spans="2:17">
      <c r="B113" s="284"/>
      <c r="C113" s="7" t="s">
        <v>165</v>
      </c>
      <c r="D113" s="202"/>
      <c r="E113" s="202"/>
      <c r="F113" s="202"/>
      <c r="G113" s="202"/>
      <c r="H113" s="8"/>
    </row>
    <row r="114" spans="2:17">
      <c r="B114" s="313" t="s">
        <v>17</v>
      </c>
      <c r="C114" s="7" t="s">
        <v>159</v>
      </c>
      <c r="D114" s="202"/>
      <c r="E114" s="202"/>
      <c r="F114" s="202"/>
      <c r="G114" s="202"/>
      <c r="H114" s="7"/>
    </row>
    <row r="115" spans="2:17">
      <c r="B115" s="313"/>
      <c r="C115" s="7" t="s">
        <v>163</v>
      </c>
      <c r="D115" s="202"/>
      <c r="E115" s="202"/>
      <c r="F115" s="202"/>
      <c r="G115" s="202"/>
      <c r="H115" s="7"/>
    </row>
    <row r="116" spans="2:17">
      <c r="B116" s="313"/>
      <c r="C116" s="7" t="s">
        <v>162</v>
      </c>
      <c r="D116" s="202"/>
      <c r="E116" s="202"/>
      <c r="F116" s="202"/>
      <c r="G116" s="202"/>
      <c r="H116" s="7"/>
    </row>
    <row r="117" spans="2:17">
      <c r="B117" s="313"/>
      <c r="C117" s="7" t="s">
        <v>164</v>
      </c>
      <c r="D117" s="202"/>
      <c r="E117" s="202"/>
      <c r="F117" s="202"/>
      <c r="G117" s="202"/>
      <c r="H117" s="7"/>
    </row>
    <row r="120" spans="2:17" ht="30" customHeight="1">
      <c r="C120" s="203" t="s">
        <v>95</v>
      </c>
      <c r="D120" s="322" t="s">
        <v>10</v>
      </c>
      <c r="E120" s="323"/>
      <c r="F120" s="323"/>
      <c r="G120" s="323"/>
      <c r="H120" s="324"/>
      <c r="I120" s="322" t="s">
        <v>15</v>
      </c>
      <c r="J120" s="323"/>
      <c r="K120" s="323"/>
      <c r="L120" s="323"/>
      <c r="M120" s="324"/>
      <c r="N120" s="322" t="s">
        <v>17</v>
      </c>
      <c r="O120" s="323"/>
      <c r="P120" s="323"/>
      <c r="Q120" s="324"/>
    </row>
    <row r="121" spans="2:17" ht="30">
      <c r="C121" s="203" t="s">
        <v>39</v>
      </c>
      <c r="D121" s="203" t="s">
        <v>185</v>
      </c>
      <c r="E121" s="203" t="s">
        <v>159</v>
      </c>
      <c r="F121" s="203" t="s">
        <v>163</v>
      </c>
      <c r="G121" s="203" t="s">
        <v>164</v>
      </c>
      <c r="H121" s="203" t="s">
        <v>162</v>
      </c>
      <c r="I121" s="203" t="s">
        <v>159</v>
      </c>
      <c r="J121" s="203" t="s">
        <v>163</v>
      </c>
      <c r="K121" s="203" t="s">
        <v>164</v>
      </c>
      <c r="L121" s="203" t="s">
        <v>162</v>
      </c>
      <c r="M121" s="203" t="s">
        <v>165</v>
      </c>
      <c r="N121" s="203" t="s">
        <v>159</v>
      </c>
      <c r="O121" s="203" t="s">
        <v>163</v>
      </c>
      <c r="P121" s="203" t="s">
        <v>164</v>
      </c>
      <c r="Q121" s="203" t="s">
        <v>162</v>
      </c>
    </row>
    <row r="122" spans="2:17" ht="30">
      <c r="C122" s="200" t="s">
        <v>225</v>
      </c>
      <c r="D122" s="204">
        <v>2000</v>
      </c>
      <c r="E122" s="204">
        <v>1600</v>
      </c>
      <c r="F122" s="204">
        <v>3400</v>
      </c>
      <c r="G122" s="204">
        <v>2500</v>
      </c>
      <c r="H122" s="204">
        <v>2500</v>
      </c>
      <c r="I122" s="204">
        <v>2100</v>
      </c>
      <c r="J122" s="204">
        <v>4600</v>
      </c>
      <c r="K122" s="204">
        <v>4000</v>
      </c>
      <c r="L122" s="204">
        <v>4500</v>
      </c>
      <c r="M122" s="204">
        <v>2600</v>
      </c>
      <c r="N122" s="204">
        <v>2100</v>
      </c>
      <c r="O122" s="204">
        <v>4000</v>
      </c>
      <c r="P122" s="204">
        <v>4000</v>
      </c>
      <c r="Q122" s="204">
        <v>3500</v>
      </c>
    </row>
    <row r="123" spans="2:17" ht="30">
      <c r="C123" s="200" t="s">
        <v>222</v>
      </c>
      <c r="D123" s="204">
        <v>1883</v>
      </c>
      <c r="E123" s="204">
        <v>1227</v>
      </c>
      <c r="F123" s="204">
        <v>3424</v>
      </c>
      <c r="G123" s="204">
        <v>3545</v>
      </c>
      <c r="H123" s="204">
        <v>2726</v>
      </c>
      <c r="I123" s="204">
        <v>2402</v>
      </c>
      <c r="J123" s="204">
        <v>5075</v>
      </c>
      <c r="K123" s="204">
        <v>5014</v>
      </c>
      <c r="L123" s="204">
        <v>4596</v>
      </c>
      <c r="M123" s="204">
        <v>4408</v>
      </c>
      <c r="N123" s="204">
        <v>2087</v>
      </c>
      <c r="O123" s="204">
        <v>4683</v>
      </c>
      <c r="P123" s="204">
        <v>4170</v>
      </c>
      <c r="Q123" s="204">
        <v>3648</v>
      </c>
    </row>
    <row r="124" spans="2:17" ht="30">
      <c r="C124" s="200" t="s">
        <v>223</v>
      </c>
      <c r="D124" s="204">
        <v>1568</v>
      </c>
      <c r="E124" s="204">
        <v>1046</v>
      </c>
      <c r="F124" s="204">
        <v>2406</v>
      </c>
      <c r="G124" s="204">
        <v>2827</v>
      </c>
      <c r="H124" s="204">
        <v>1513</v>
      </c>
      <c r="I124" s="204">
        <v>2347</v>
      </c>
      <c r="J124" s="204">
        <v>3842</v>
      </c>
      <c r="K124" s="204">
        <v>3764</v>
      </c>
      <c r="L124" s="204">
        <v>4337</v>
      </c>
      <c r="M124" s="204">
        <v>4045</v>
      </c>
      <c r="N124" s="204">
        <v>1782</v>
      </c>
      <c r="O124" s="204">
        <v>3860</v>
      </c>
      <c r="P124" s="204">
        <v>3454</v>
      </c>
      <c r="Q124" s="204">
        <v>2209</v>
      </c>
    </row>
    <row r="125" spans="2:17" ht="34.5" customHeight="1">
      <c r="C125" s="200" t="s">
        <v>224</v>
      </c>
      <c r="D125" s="204">
        <v>1800</v>
      </c>
      <c r="E125" s="204">
        <v>1200</v>
      </c>
      <c r="F125" s="325">
        <v>3200</v>
      </c>
      <c r="G125" s="326"/>
      <c r="H125" s="204">
        <v>2300</v>
      </c>
      <c r="I125" s="204">
        <v>2400</v>
      </c>
      <c r="J125" s="325">
        <v>4300</v>
      </c>
      <c r="K125" s="326"/>
      <c r="L125" s="325">
        <v>4500</v>
      </c>
      <c r="M125" s="326"/>
      <c r="N125" s="204">
        <v>2100</v>
      </c>
      <c r="O125" s="325">
        <v>4300</v>
      </c>
      <c r="P125" s="326"/>
      <c r="Q125" s="204">
        <v>3100</v>
      </c>
    </row>
    <row r="126" spans="2:17" ht="34.5" customHeight="1">
      <c r="C126" s="200" t="s">
        <v>8</v>
      </c>
      <c r="D126" s="204"/>
      <c r="E126" s="204"/>
      <c r="F126" s="325"/>
      <c r="G126" s="326"/>
      <c r="H126" s="204"/>
      <c r="I126" s="204"/>
      <c r="J126" s="325"/>
      <c r="K126" s="326"/>
      <c r="L126" s="325"/>
      <c r="M126" s="326"/>
      <c r="N126" s="204"/>
      <c r="O126" s="325"/>
      <c r="P126" s="326"/>
      <c r="Q126" s="204"/>
    </row>
    <row r="129" spans="4:8">
      <c r="D129" s="133">
        <f>AVERAGE(D123:D124)*1.05</f>
        <v>1811.7750000000001</v>
      </c>
    </row>
    <row r="131" spans="4:8">
      <c r="H131">
        <f>580000000/1600</f>
        <v>362500</v>
      </c>
    </row>
  </sheetData>
  <mergeCells count="32">
    <mergeCell ref="F126:G126"/>
    <mergeCell ref="J126:K126"/>
    <mergeCell ref="L126:M126"/>
    <mergeCell ref="O126:P126"/>
    <mergeCell ref="B86:B90"/>
    <mergeCell ref="B91:B95"/>
    <mergeCell ref="B96:B100"/>
    <mergeCell ref="B104:B108"/>
    <mergeCell ref="B109:B113"/>
    <mergeCell ref="B114:B117"/>
    <mergeCell ref="E67:F67"/>
    <mergeCell ref="D120:H120"/>
    <mergeCell ref="I120:M120"/>
    <mergeCell ref="N120:Q120"/>
    <mergeCell ref="F125:G125"/>
    <mergeCell ref="J125:K125"/>
    <mergeCell ref="L125:M125"/>
    <mergeCell ref="O125:P125"/>
    <mergeCell ref="T31:U31"/>
    <mergeCell ref="V31:W31"/>
    <mergeCell ref="Y31:Z31"/>
    <mergeCell ref="C49:D49"/>
    <mergeCell ref="E49:F49"/>
    <mergeCell ref="J49:K49"/>
    <mergeCell ref="L49:M49"/>
    <mergeCell ref="T49:U49"/>
    <mergeCell ref="V49:W49"/>
    <mergeCell ref="C31:D31"/>
    <mergeCell ref="E31:F31"/>
    <mergeCell ref="J31:K31"/>
    <mergeCell ref="L31:M31"/>
    <mergeCell ref="N31:O31"/>
  </mergeCells>
  <pageMargins left="0.7" right="0.7" top="0.75" bottom="0.75" header="0.3" footer="0.3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Z75"/>
  <sheetViews>
    <sheetView showGridLines="0" zoomScale="85" zoomScaleNormal="85" workbookViewId="0">
      <selection activeCell="P19" sqref="P19"/>
    </sheetView>
  </sheetViews>
  <sheetFormatPr defaultColWidth="9" defaultRowHeight="15.75"/>
  <cols>
    <col min="1" max="1" width="9" style="29"/>
    <col min="2" max="2" width="22.85546875" style="29" customWidth="1"/>
    <col min="3" max="3" width="14.5703125" style="29" customWidth="1"/>
    <col min="4" max="4" width="8.85546875" style="29" customWidth="1"/>
    <col min="5" max="5" width="15.7109375" style="29" customWidth="1"/>
    <col min="6" max="6" width="14.5703125" style="29" customWidth="1"/>
    <col min="7" max="7" width="8.85546875" style="29" customWidth="1"/>
    <col min="8" max="8" width="15.7109375" style="29" customWidth="1"/>
    <col min="9" max="9" width="14.5703125" style="29" customWidth="1"/>
    <col min="10" max="10" width="8" style="29" customWidth="1"/>
    <col min="11" max="11" width="15.7109375" style="29" customWidth="1"/>
    <col min="12" max="12" width="14.5703125" style="29" hidden="1" customWidth="1"/>
    <col min="13" max="13" width="8.28515625" style="29" hidden="1" customWidth="1"/>
    <col min="14" max="14" width="15.7109375" style="29" hidden="1" customWidth="1"/>
    <col min="15" max="15" width="9" style="29"/>
    <col min="16" max="16" width="12.140625" style="29" bestFit="1" customWidth="1"/>
    <col min="17" max="17" width="22.85546875" style="29" customWidth="1"/>
    <col min="18" max="18" width="14.5703125" style="29" customWidth="1"/>
    <col min="19" max="19" width="8.85546875" style="29" customWidth="1"/>
    <col min="20" max="20" width="15.7109375" style="29" customWidth="1"/>
    <col min="21" max="21" width="14.5703125" style="29" customWidth="1"/>
    <col min="22" max="22" width="8" style="29" customWidth="1"/>
    <col min="23" max="23" width="15.7109375" style="29" customWidth="1"/>
    <col min="24" max="24" width="14.5703125" style="29" hidden="1" customWidth="1"/>
    <col min="25" max="25" width="8.28515625" style="29" hidden="1" customWidth="1"/>
    <col min="26" max="26" width="15.7109375" style="29" hidden="1" customWidth="1"/>
    <col min="27" max="16384" width="9" style="29"/>
  </cols>
  <sheetData>
    <row r="2" spans="2:26">
      <c r="B2" s="29" t="s">
        <v>226</v>
      </c>
    </row>
    <row r="3" spans="2:26">
      <c r="B3" s="2" t="s">
        <v>227</v>
      </c>
      <c r="C3" s="29" t="s">
        <v>228</v>
      </c>
      <c r="F3" s="29" t="s">
        <v>229</v>
      </c>
      <c r="Q3" s="2" t="s">
        <v>230</v>
      </c>
    </row>
    <row r="4" spans="2:26">
      <c r="B4" s="340" t="s">
        <v>4</v>
      </c>
      <c r="C4" s="330" t="s">
        <v>355</v>
      </c>
      <c r="D4" s="331"/>
      <c r="E4" s="332"/>
      <c r="F4" s="327" t="s">
        <v>354</v>
      </c>
      <c r="G4" s="328"/>
      <c r="H4" s="329"/>
      <c r="I4" s="327" t="s">
        <v>356</v>
      </c>
      <c r="J4" s="328"/>
      <c r="K4" s="329"/>
      <c r="L4" s="330" t="s">
        <v>17</v>
      </c>
      <c r="M4" s="331"/>
      <c r="N4" s="332"/>
      <c r="Q4" s="340" t="s">
        <v>4</v>
      </c>
      <c r="R4" s="327" t="s">
        <v>231</v>
      </c>
      <c r="S4" s="328"/>
      <c r="T4" s="329"/>
      <c r="U4" s="327" t="s">
        <v>232</v>
      </c>
      <c r="V4" s="328"/>
      <c r="W4" s="329"/>
      <c r="X4" s="330" t="s">
        <v>17</v>
      </c>
      <c r="Y4" s="331"/>
      <c r="Z4" s="332"/>
    </row>
    <row r="5" spans="2:26">
      <c r="B5" s="341"/>
      <c r="C5" s="30" t="s">
        <v>180</v>
      </c>
      <c r="D5" s="31" t="s">
        <v>41</v>
      </c>
      <c r="E5" s="31" t="s">
        <v>44</v>
      </c>
      <c r="F5" s="30" t="s">
        <v>180</v>
      </c>
      <c r="G5" s="31" t="s">
        <v>41</v>
      </c>
      <c r="H5" s="31" t="s">
        <v>44</v>
      </c>
      <c r="I5" s="30" t="s">
        <v>180</v>
      </c>
      <c r="J5" s="31" t="s">
        <v>41</v>
      </c>
      <c r="K5" s="31" t="s">
        <v>44</v>
      </c>
      <c r="L5" s="30" t="s">
        <v>180</v>
      </c>
      <c r="M5" s="31" t="s">
        <v>41</v>
      </c>
      <c r="N5" s="31" t="s">
        <v>44</v>
      </c>
      <c r="Q5" s="341"/>
      <c r="R5" s="30" t="s">
        <v>180</v>
      </c>
      <c r="S5" s="31" t="s">
        <v>41</v>
      </c>
      <c r="T5" s="31" t="s">
        <v>44</v>
      </c>
      <c r="U5" s="30" t="s">
        <v>180</v>
      </c>
      <c r="V5" s="31" t="s">
        <v>41</v>
      </c>
      <c r="W5" s="31" t="s">
        <v>44</v>
      </c>
      <c r="X5" s="30" t="s">
        <v>180</v>
      </c>
      <c r="Y5" s="31" t="s">
        <v>41</v>
      </c>
      <c r="Z5" s="31" t="s">
        <v>44</v>
      </c>
    </row>
    <row r="6" spans="2:26">
      <c r="B6" s="32" t="s">
        <v>233</v>
      </c>
      <c r="C6" s="94">
        <v>76880000</v>
      </c>
      <c r="D6" s="32">
        <v>1</v>
      </c>
      <c r="E6" s="33">
        <f t="shared" ref="E6:E15" si="0">+C6*D6</f>
        <v>76880000</v>
      </c>
      <c r="F6" s="33">
        <v>68684000</v>
      </c>
      <c r="G6" s="32">
        <v>1</v>
      </c>
      <c r="H6" s="33">
        <f>+F6*G6</f>
        <v>68684000</v>
      </c>
      <c r="I6" s="94">
        <v>65153000</v>
      </c>
      <c r="J6" s="32">
        <v>1</v>
      </c>
      <c r="K6" s="33">
        <f>+I6*J6</f>
        <v>65153000</v>
      </c>
      <c r="L6" s="33"/>
      <c r="M6" s="32">
        <v>1</v>
      </c>
      <c r="N6" s="33">
        <f>+L6*M6</f>
        <v>0</v>
      </c>
      <c r="Q6" s="32" t="s">
        <v>233</v>
      </c>
      <c r="R6" s="33">
        <v>68684000</v>
      </c>
      <c r="S6" s="32">
        <v>1</v>
      </c>
      <c r="T6" s="33">
        <f>+R6*S6</f>
        <v>68684000</v>
      </c>
      <c r="U6" s="33">
        <v>65153000</v>
      </c>
      <c r="V6" s="32">
        <v>1</v>
      </c>
      <c r="W6" s="33">
        <f>+U6*V6</f>
        <v>65153000</v>
      </c>
      <c r="X6" s="33"/>
      <c r="Y6" s="32">
        <v>1</v>
      </c>
      <c r="Z6" s="33">
        <f>+X6*Y6</f>
        <v>0</v>
      </c>
    </row>
    <row r="7" spans="2:26">
      <c r="B7" s="32" t="s">
        <v>234</v>
      </c>
      <c r="C7" s="33">
        <v>6419795</v>
      </c>
      <c r="D7" s="32">
        <v>1</v>
      </c>
      <c r="E7" s="33">
        <f t="shared" si="0"/>
        <v>6419795</v>
      </c>
      <c r="F7" s="33">
        <v>5653000</v>
      </c>
      <c r="G7" s="32">
        <v>1</v>
      </c>
      <c r="H7" s="33">
        <f t="shared" ref="H7:H15" si="1">+F7*G7</f>
        <v>5653000</v>
      </c>
      <c r="I7" s="33">
        <v>4947000</v>
      </c>
      <c r="J7" s="32">
        <v>1</v>
      </c>
      <c r="K7" s="33">
        <f t="shared" ref="K7:K15" si="2">+I7*J7</f>
        <v>4947000</v>
      </c>
      <c r="L7" s="33"/>
      <c r="M7" s="32">
        <v>1</v>
      </c>
      <c r="N7" s="33">
        <f t="shared" ref="N7:N15" si="3">+L7*M7</f>
        <v>0</v>
      </c>
      <c r="Q7" s="32" t="s">
        <v>234</v>
      </c>
      <c r="R7" s="33">
        <v>5653000</v>
      </c>
      <c r="S7" s="32">
        <v>1</v>
      </c>
      <c r="T7" s="33">
        <f t="shared" ref="T7:T15" si="4">+R7*S7</f>
        <v>5653000</v>
      </c>
      <c r="U7" s="33">
        <v>4947000</v>
      </c>
      <c r="V7" s="32">
        <v>1</v>
      </c>
      <c r="W7" s="33">
        <f t="shared" ref="W7:W15" si="5">+U7*V7</f>
        <v>4947000</v>
      </c>
      <c r="X7" s="33"/>
      <c r="Y7" s="32">
        <v>1</v>
      </c>
      <c r="Z7" s="33">
        <f t="shared" ref="Z7:Z15" si="6">+X7*Y7</f>
        <v>0</v>
      </c>
    </row>
    <row r="8" spans="2:26">
      <c r="B8" s="32" t="s">
        <v>235</v>
      </c>
      <c r="C8" s="33">
        <v>7400</v>
      </c>
      <c r="D8" s="32">
        <v>0</v>
      </c>
      <c r="E8" s="33">
        <f t="shared" si="0"/>
        <v>0</v>
      </c>
      <c r="F8" s="33">
        <v>8200</v>
      </c>
      <c r="G8" s="32">
        <v>0</v>
      </c>
      <c r="H8" s="33">
        <f t="shared" si="1"/>
        <v>0</v>
      </c>
      <c r="I8" s="33">
        <v>8200</v>
      </c>
      <c r="J8" s="32">
        <v>0</v>
      </c>
      <c r="K8" s="33">
        <f t="shared" si="2"/>
        <v>0</v>
      </c>
      <c r="L8" s="33"/>
      <c r="M8" s="32"/>
      <c r="N8" s="33">
        <f t="shared" si="3"/>
        <v>0</v>
      </c>
      <c r="Q8" s="32" t="s">
        <v>235</v>
      </c>
      <c r="R8" s="66">
        <v>5300</v>
      </c>
      <c r="S8" s="32">
        <v>0</v>
      </c>
      <c r="T8" s="33">
        <f t="shared" si="4"/>
        <v>0</v>
      </c>
      <c r="U8" s="66">
        <v>5300</v>
      </c>
      <c r="V8" s="32">
        <v>0</v>
      </c>
      <c r="W8" s="33">
        <f t="shared" si="5"/>
        <v>0</v>
      </c>
      <c r="X8" s="33"/>
      <c r="Y8" s="32"/>
      <c r="Z8" s="33">
        <f t="shared" si="6"/>
        <v>0</v>
      </c>
    </row>
    <row r="9" spans="2:26">
      <c r="B9" s="32" t="s">
        <v>236</v>
      </c>
      <c r="C9" s="33">
        <v>82000</v>
      </c>
      <c r="D9" s="32">
        <v>22</v>
      </c>
      <c r="E9" s="33">
        <f t="shared" si="0"/>
        <v>1804000</v>
      </c>
      <c r="F9" s="33">
        <v>82600</v>
      </c>
      <c r="G9" s="32">
        <v>22</v>
      </c>
      <c r="H9" s="33">
        <f t="shared" si="1"/>
        <v>1817200</v>
      </c>
      <c r="I9" s="33">
        <v>82600</v>
      </c>
      <c r="J9" s="32">
        <v>22</v>
      </c>
      <c r="K9" s="33">
        <f t="shared" si="2"/>
        <v>1817200</v>
      </c>
      <c r="L9" s="33"/>
      <c r="M9" s="32"/>
      <c r="N9" s="33">
        <f t="shared" si="3"/>
        <v>0</v>
      </c>
      <c r="Q9" s="32" t="s">
        <v>236</v>
      </c>
      <c r="R9" s="33">
        <v>82600</v>
      </c>
      <c r="S9" s="32">
        <v>22</v>
      </c>
      <c r="T9" s="33">
        <f t="shared" si="4"/>
        <v>1817200</v>
      </c>
      <c r="U9" s="33">
        <v>82600</v>
      </c>
      <c r="V9" s="32">
        <v>22</v>
      </c>
      <c r="W9" s="33">
        <f t="shared" si="5"/>
        <v>1817200</v>
      </c>
      <c r="X9" s="33"/>
      <c r="Y9" s="32"/>
      <c r="Z9" s="33">
        <f t="shared" si="6"/>
        <v>0</v>
      </c>
    </row>
    <row r="10" spans="2:26">
      <c r="B10" s="32" t="s">
        <v>237</v>
      </c>
      <c r="C10" s="33">
        <v>2060000</v>
      </c>
      <c r="D10" s="32">
        <v>0</v>
      </c>
      <c r="E10" s="33">
        <f t="shared" si="0"/>
        <v>0</v>
      </c>
      <c r="F10" s="33">
        <v>2060000</v>
      </c>
      <c r="G10" s="32">
        <v>0</v>
      </c>
      <c r="H10" s="33">
        <f t="shared" si="1"/>
        <v>0</v>
      </c>
      <c r="I10" s="33">
        <v>2060000</v>
      </c>
      <c r="J10" s="32">
        <v>0</v>
      </c>
      <c r="K10" s="33">
        <f t="shared" si="2"/>
        <v>0</v>
      </c>
      <c r="L10" s="33"/>
      <c r="M10" s="32"/>
      <c r="N10" s="33">
        <f t="shared" si="3"/>
        <v>0</v>
      </c>
      <c r="Q10" s="32" t="s">
        <v>237</v>
      </c>
      <c r="R10" s="66">
        <v>1770000</v>
      </c>
      <c r="S10" s="32">
        <v>0</v>
      </c>
      <c r="T10" s="33">
        <f t="shared" si="4"/>
        <v>0</v>
      </c>
      <c r="U10" s="66">
        <v>1770000</v>
      </c>
      <c r="V10" s="32">
        <v>0</v>
      </c>
      <c r="W10" s="33">
        <f t="shared" si="5"/>
        <v>0</v>
      </c>
      <c r="X10" s="33"/>
      <c r="Y10" s="32"/>
      <c r="Z10" s="33">
        <f t="shared" si="6"/>
        <v>0</v>
      </c>
    </row>
    <row r="11" spans="2:26">
      <c r="B11" s="32" t="s">
        <v>238</v>
      </c>
      <c r="C11" s="33">
        <v>1030000</v>
      </c>
      <c r="D11" s="32">
        <v>0</v>
      </c>
      <c r="E11" s="33">
        <f t="shared" si="0"/>
        <v>0</v>
      </c>
      <c r="F11" s="33">
        <v>1030000</v>
      </c>
      <c r="G11" s="32">
        <v>0</v>
      </c>
      <c r="H11" s="33">
        <f t="shared" si="1"/>
        <v>0</v>
      </c>
      <c r="I11" s="33">
        <v>1030000</v>
      </c>
      <c r="J11" s="32">
        <v>0</v>
      </c>
      <c r="K11" s="33">
        <f t="shared" si="2"/>
        <v>0</v>
      </c>
      <c r="L11" s="33"/>
      <c r="M11" s="32"/>
      <c r="N11" s="33">
        <f t="shared" si="3"/>
        <v>0</v>
      </c>
      <c r="Q11" s="32" t="s">
        <v>238</v>
      </c>
      <c r="R11" s="66">
        <v>885000</v>
      </c>
      <c r="S11" s="32">
        <v>0</v>
      </c>
      <c r="T11" s="33">
        <f t="shared" si="4"/>
        <v>0</v>
      </c>
      <c r="U11" s="66">
        <v>885000</v>
      </c>
      <c r="V11" s="32">
        <v>0</v>
      </c>
      <c r="W11" s="33">
        <f t="shared" si="5"/>
        <v>0</v>
      </c>
      <c r="X11" s="33"/>
      <c r="Y11" s="32"/>
      <c r="Z11" s="33">
        <f t="shared" si="6"/>
        <v>0</v>
      </c>
    </row>
    <row r="12" spans="2:26">
      <c r="B12" s="32" t="s">
        <v>239</v>
      </c>
      <c r="C12" s="33">
        <v>420000</v>
      </c>
      <c r="D12" s="32">
        <v>0</v>
      </c>
      <c r="E12" s="33">
        <f t="shared" si="0"/>
        <v>0</v>
      </c>
      <c r="F12" s="33">
        <v>420000</v>
      </c>
      <c r="G12" s="32">
        <v>0</v>
      </c>
      <c r="H12" s="33">
        <f t="shared" si="1"/>
        <v>0</v>
      </c>
      <c r="I12" s="33">
        <v>420000</v>
      </c>
      <c r="J12" s="32">
        <v>0</v>
      </c>
      <c r="K12" s="33">
        <f t="shared" si="2"/>
        <v>0</v>
      </c>
      <c r="L12" s="33"/>
      <c r="M12" s="32">
        <v>1</v>
      </c>
      <c r="N12" s="33">
        <f t="shared" si="3"/>
        <v>0</v>
      </c>
      <c r="Q12" s="32" t="s">
        <v>239</v>
      </c>
      <c r="R12" s="33">
        <v>420000</v>
      </c>
      <c r="S12" s="32">
        <v>0</v>
      </c>
      <c r="T12" s="33">
        <f t="shared" si="4"/>
        <v>0</v>
      </c>
      <c r="U12" s="33">
        <v>420000</v>
      </c>
      <c r="V12" s="32">
        <v>0</v>
      </c>
      <c r="W12" s="33">
        <f t="shared" si="5"/>
        <v>0</v>
      </c>
      <c r="X12" s="33"/>
      <c r="Y12" s="32">
        <v>1</v>
      </c>
      <c r="Z12" s="33">
        <f t="shared" si="6"/>
        <v>0</v>
      </c>
    </row>
    <row r="13" spans="2:26">
      <c r="B13" s="32" t="s">
        <v>240</v>
      </c>
      <c r="C13" s="33">
        <v>450000</v>
      </c>
      <c r="D13" s="32">
        <v>0</v>
      </c>
      <c r="E13" s="33">
        <f t="shared" si="0"/>
        <v>0</v>
      </c>
      <c r="F13" s="33">
        <v>450000</v>
      </c>
      <c r="G13" s="32">
        <v>0</v>
      </c>
      <c r="H13" s="33">
        <f t="shared" si="1"/>
        <v>0</v>
      </c>
      <c r="I13" s="33">
        <v>450000</v>
      </c>
      <c r="J13" s="32">
        <v>0</v>
      </c>
      <c r="K13" s="33">
        <f t="shared" si="2"/>
        <v>0</v>
      </c>
      <c r="L13" s="33"/>
      <c r="M13" s="32">
        <v>1</v>
      </c>
      <c r="N13" s="33">
        <f t="shared" si="3"/>
        <v>0</v>
      </c>
      <c r="Q13" s="32" t="s">
        <v>240</v>
      </c>
      <c r="R13" s="33">
        <v>450000</v>
      </c>
      <c r="S13" s="32">
        <v>0</v>
      </c>
      <c r="T13" s="33">
        <f t="shared" si="4"/>
        <v>0</v>
      </c>
      <c r="U13" s="33">
        <v>450000</v>
      </c>
      <c r="V13" s="32">
        <v>0</v>
      </c>
      <c r="W13" s="33">
        <f t="shared" si="5"/>
        <v>0</v>
      </c>
      <c r="X13" s="33"/>
      <c r="Y13" s="32">
        <v>1</v>
      </c>
      <c r="Z13" s="33">
        <f t="shared" si="6"/>
        <v>0</v>
      </c>
    </row>
    <row r="14" spans="2:26">
      <c r="B14" s="32" t="s">
        <v>183</v>
      </c>
      <c r="C14" s="33">
        <v>6000</v>
      </c>
      <c r="D14" s="32">
        <v>3</v>
      </c>
      <c r="E14" s="33">
        <f t="shared" si="0"/>
        <v>18000</v>
      </c>
      <c r="F14" s="33">
        <v>0</v>
      </c>
      <c r="G14" s="32">
        <v>0</v>
      </c>
      <c r="H14" s="33">
        <f t="shared" si="1"/>
        <v>0</v>
      </c>
      <c r="I14" s="33">
        <v>0</v>
      </c>
      <c r="J14" s="32">
        <v>0</v>
      </c>
      <c r="K14" s="33"/>
      <c r="L14" s="33"/>
      <c r="M14" s="32"/>
      <c r="N14" s="33"/>
      <c r="Q14" s="32"/>
      <c r="R14" s="33"/>
      <c r="S14" s="32"/>
      <c r="T14" s="33"/>
      <c r="U14" s="33">
        <v>0</v>
      </c>
      <c r="V14" s="32">
        <v>0</v>
      </c>
      <c r="W14" s="33"/>
      <c r="X14" s="33"/>
      <c r="Y14" s="32"/>
      <c r="Z14" s="33"/>
    </row>
    <row r="15" spans="2:26">
      <c r="B15" s="32" t="s">
        <v>241</v>
      </c>
      <c r="C15" s="33"/>
      <c r="D15" s="32">
        <v>0</v>
      </c>
      <c r="E15" s="33">
        <f t="shared" si="0"/>
        <v>0</v>
      </c>
      <c r="F15" s="33">
        <v>310000</v>
      </c>
      <c r="G15" s="32">
        <v>0</v>
      </c>
      <c r="H15" s="33">
        <f t="shared" si="1"/>
        <v>0</v>
      </c>
      <c r="I15" s="33"/>
      <c r="J15" s="32">
        <v>0</v>
      </c>
      <c r="K15" s="33">
        <f t="shared" si="2"/>
        <v>0</v>
      </c>
      <c r="L15" s="33"/>
      <c r="M15" s="32">
        <v>1</v>
      </c>
      <c r="N15" s="33">
        <f t="shared" si="3"/>
        <v>0</v>
      </c>
      <c r="Q15" s="32" t="s">
        <v>241</v>
      </c>
      <c r="R15" s="33">
        <v>310000</v>
      </c>
      <c r="S15" s="32">
        <v>0</v>
      </c>
      <c r="T15" s="33">
        <f t="shared" si="4"/>
        <v>0</v>
      </c>
      <c r="U15" s="33"/>
      <c r="V15" s="32">
        <v>0</v>
      </c>
      <c r="W15" s="33">
        <f t="shared" si="5"/>
        <v>0</v>
      </c>
      <c r="X15" s="33"/>
      <c r="Y15" s="32">
        <v>1</v>
      </c>
      <c r="Z15" s="33">
        <f t="shared" si="6"/>
        <v>0</v>
      </c>
    </row>
    <row r="16" spans="2:26" s="2" customFormat="1">
      <c r="B16" s="35"/>
      <c r="C16" s="35"/>
      <c r="D16" s="31" t="s">
        <v>48</v>
      </c>
      <c r="E16" s="155">
        <f>SUM(E6:E15)</f>
        <v>85121795</v>
      </c>
      <c r="F16" s="35"/>
      <c r="G16" s="31" t="s">
        <v>48</v>
      </c>
      <c r="H16" s="155">
        <f>SUM(H6:H15)</f>
        <v>76154200</v>
      </c>
      <c r="I16" s="35"/>
      <c r="J16" s="31" t="s">
        <v>48</v>
      </c>
      <c r="K16" s="155">
        <f>SUM(K6:K15)</f>
        <v>71917200</v>
      </c>
      <c r="L16" s="35"/>
      <c r="M16" s="31" t="s">
        <v>48</v>
      </c>
      <c r="N16" s="36">
        <f>SUM(N6:N15)</f>
        <v>0</v>
      </c>
      <c r="Q16" s="35"/>
      <c r="R16" s="35"/>
      <c r="S16" s="31" t="s">
        <v>48</v>
      </c>
      <c r="T16" s="155">
        <f>SUM(T6:T15)</f>
        <v>76154200</v>
      </c>
      <c r="U16" s="35"/>
      <c r="V16" s="31" t="s">
        <v>48</v>
      </c>
      <c r="W16" s="155">
        <f>SUM(W6:W15)</f>
        <v>71917200</v>
      </c>
      <c r="X16" s="35"/>
      <c r="Y16" s="31" t="s">
        <v>48</v>
      </c>
      <c r="Z16" s="36">
        <f>SUM(Z6:Z15)</f>
        <v>0</v>
      </c>
    </row>
    <row r="17" spans="2:26">
      <c r="K17" s="56">
        <f>+K16-H16</f>
        <v>-4237000</v>
      </c>
      <c r="N17" s="49">
        <f>+H16+K16+N16</f>
        <v>148071400</v>
      </c>
      <c r="Z17" s="49">
        <f>+T16+W16+Z16</f>
        <v>148071400</v>
      </c>
    </row>
    <row r="18" spans="2:26">
      <c r="E18" s="28">
        <f>+E16/23000</f>
        <v>3700.947608695652</v>
      </c>
      <c r="H18" s="28">
        <f>+H16/23000</f>
        <v>3311.0521739130436</v>
      </c>
      <c r="K18" s="156">
        <f>+K17/23000</f>
        <v>-184.21739130434781</v>
      </c>
      <c r="P18" s="56">
        <f>+H16-K16</f>
        <v>4237000</v>
      </c>
    </row>
    <row r="19" spans="2:26">
      <c r="H19" s="56">
        <f>+H6-E6</f>
        <v>-8196000</v>
      </c>
      <c r="K19" s="56">
        <f>+K16/23000</f>
        <v>3126.8347826086956</v>
      </c>
    </row>
    <row r="20" spans="2:26" hidden="1">
      <c r="B20" s="340" t="s">
        <v>5</v>
      </c>
      <c r="C20" s="330" t="s">
        <v>3</v>
      </c>
      <c r="D20" s="331"/>
      <c r="E20" s="332"/>
      <c r="F20" s="330" t="s">
        <v>10</v>
      </c>
      <c r="G20" s="331"/>
      <c r="H20" s="332"/>
      <c r="I20" s="330" t="s">
        <v>15</v>
      </c>
      <c r="J20" s="331"/>
      <c r="K20" s="332"/>
      <c r="L20" s="330" t="s">
        <v>17</v>
      </c>
      <c r="M20" s="331"/>
      <c r="N20" s="332"/>
      <c r="Q20" s="340" t="s">
        <v>5</v>
      </c>
      <c r="R20" s="330" t="s">
        <v>10</v>
      </c>
      <c r="S20" s="331"/>
      <c r="T20" s="332"/>
      <c r="U20" s="330" t="s">
        <v>15</v>
      </c>
      <c r="V20" s="331"/>
      <c r="W20" s="332"/>
      <c r="X20" s="330" t="s">
        <v>17</v>
      </c>
      <c r="Y20" s="331"/>
      <c r="Z20" s="332"/>
    </row>
    <row r="21" spans="2:26" hidden="1">
      <c r="B21" s="341"/>
      <c r="C21" s="30" t="s">
        <v>180</v>
      </c>
      <c r="D21" s="31" t="s">
        <v>41</v>
      </c>
      <c r="E21" s="31" t="s">
        <v>44</v>
      </c>
      <c r="F21" s="30" t="s">
        <v>180</v>
      </c>
      <c r="G21" s="31" t="s">
        <v>41</v>
      </c>
      <c r="H21" s="31" t="s">
        <v>44</v>
      </c>
      <c r="I21" s="30" t="s">
        <v>180</v>
      </c>
      <c r="J21" s="31" t="s">
        <v>41</v>
      </c>
      <c r="K21" s="31" t="s">
        <v>44</v>
      </c>
      <c r="L21" s="30" t="s">
        <v>180</v>
      </c>
      <c r="M21" s="31" t="s">
        <v>41</v>
      </c>
      <c r="N21" s="31" t="s">
        <v>44</v>
      </c>
      <c r="Q21" s="341"/>
      <c r="R21" s="30" t="s">
        <v>180</v>
      </c>
      <c r="S21" s="31" t="s">
        <v>41</v>
      </c>
      <c r="T21" s="31" t="s">
        <v>44</v>
      </c>
      <c r="U21" s="30" t="s">
        <v>180</v>
      </c>
      <c r="V21" s="31" t="s">
        <v>41</v>
      </c>
      <c r="W21" s="31" t="s">
        <v>44</v>
      </c>
      <c r="X21" s="30" t="s">
        <v>180</v>
      </c>
      <c r="Y21" s="31" t="s">
        <v>41</v>
      </c>
      <c r="Z21" s="31" t="s">
        <v>44</v>
      </c>
    </row>
    <row r="22" spans="2:26" hidden="1">
      <c r="B22" s="32" t="s">
        <v>233</v>
      </c>
      <c r="C22" s="33"/>
      <c r="D22" s="32">
        <v>1</v>
      </c>
      <c r="E22" s="33">
        <f t="shared" ref="E22:E30" si="7">+C22*D22</f>
        <v>0</v>
      </c>
      <c r="F22" s="33"/>
      <c r="G22" s="32">
        <v>1</v>
      </c>
      <c r="H22" s="33">
        <f>+F22*G22</f>
        <v>0</v>
      </c>
      <c r="I22" s="33"/>
      <c r="J22" s="32">
        <v>1</v>
      </c>
      <c r="K22" s="45">
        <f>+I22*J22</f>
        <v>0</v>
      </c>
      <c r="L22" s="33"/>
      <c r="M22" s="32">
        <v>1</v>
      </c>
      <c r="N22" s="33">
        <f>+L22*M22</f>
        <v>0</v>
      </c>
      <c r="Q22" s="32" t="s">
        <v>233</v>
      </c>
      <c r="R22" s="32"/>
      <c r="S22" s="32">
        <v>1</v>
      </c>
      <c r="T22" s="32">
        <f>+R22*S22</f>
        <v>0</v>
      </c>
      <c r="U22" s="33"/>
      <c r="V22" s="32">
        <v>1</v>
      </c>
      <c r="W22" s="33">
        <f>+U22*V22</f>
        <v>0</v>
      </c>
      <c r="X22" s="33"/>
      <c r="Y22" s="32">
        <v>1</v>
      </c>
      <c r="Z22" s="33">
        <f>+X22*Y22</f>
        <v>0</v>
      </c>
    </row>
    <row r="23" spans="2:26" hidden="1">
      <c r="B23" s="32" t="s">
        <v>234</v>
      </c>
      <c r="C23" s="33"/>
      <c r="D23" s="32">
        <v>1</v>
      </c>
      <c r="E23" s="33">
        <f t="shared" si="7"/>
        <v>0</v>
      </c>
      <c r="F23" s="33"/>
      <c r="G23" s="32">
        <v>1</v>
      </c>
      <c r="H23" s="33">
        <f t="shared" ref="H23:H30" si="8">+F23*G23</f>
        <v>0</v>
      </c>
      <c r="I23" s="33"/>
      <c r="J23" s="32">
        <v>1</v>
      </c>
      <c r="K23" s="45">
        <f t="shared" ref="K23:K30" si="9">+I23*J23</f>
        <v>0</v>
      </c>
      <c r="L23" s="33"/>
      <c r="M23" s="32">
        <v>1</v>
      </c>
      <c r="N23" s="33">
        <f t="shared" ref="N23:N30" si="10">+L23*M23</f>
        <v>0</v>
      </c>
      <c r="Q23" s="32" t="s">
        <v>234</v>
      </c>
      <c r="R23" s="32"/>
      <c r="S23" s="32">
        <v>1</v>
      </c>
      <c r="T23" s="32">
        <f t="shared" ref="T23:T30" si="11">+R23*S23</f>
        <v>0</v>
      </c>
      <c r="U23" s="33"/>
      <c r="V23" s="32">
        <v>1</v>
      </c>
      <c r="W23" s="33">
        <f t="shared" ref="W23:W30" si="12">+U23*V23</f>
        <v>0</v>
      </c>
      <c r="X23" s="33"/>
      <c r="Y23" s="32">
        <v>1</v>
      </c>
      <c r="Z23" s="33">
        <f t="shared" ref="Z23:Z30" si="13">+X23*Y23</f>
        <v>0</v>
      </c>
    </row>
    <row r="24" spans="2:26" hidden="1">
      <c r="B24" s="32" t="s">
        <v>235</v>
      </c>
      <c r="C24" s="33"/>
      <c r="D24" s="32"/>
      <c r="E24" s="33">
        <f t="shared" si="7"/>
        <v>0</v>
      </c>
      <c r="F24" s="33"/>
      <c r="G24" s="32"/>
      <c r="H24" s="33">
        <f t="shared" si="8"/>
        <v>0</v>
      </c>
      <c r="I24" s="33"/>
      <c r="J24" s="32"/>
      <c r="K24" s="45">
        <f t="shared" si="9"/>
        <v>0</v>
      </c>
      <c r="L24" s="33"/>
      <c r="M24" s="32"/>
      <c r="N24" s="33">
        <f t="shared" si="10"/>
        <v>0</v>
      </c>
      <c r="Q24" s="32" t="s">
        <v>235</v>
      </c>
      <c r="R24" s="32"/>
      <c r="S24" s="32"/>
      <c r="T24" s="32">
        <f t="shared" si="11"/>
        <v>0</v>
      </c>
      <c r="U24" s="33"/>
      <c r="V24" s="32"/>
      <c r="W24" s="33">
        <f t="shared" si="12"/>
        <v>0</v>
      </c>
      <c r="X24" s="33"/>
      <c r="Y24" s="32"/>
      <c r="Z24" s="33">
        <f t="shared" si="13"/>
        <v>0</v>
      </c>
    </row>
    <row r="25" spans="2:26" hidden="1">
      <c r="B25" s="32" t="s">
        <v>236</v>
      </c>
      <c r="C25" s="33"/>
      <c r="D25" s="32"/>
      <c r="E25" s="33">
        <f t="shared" si="7"/>
        <v>0</v>
      </c>
      <c r="F25" s="33"/>
      <c r="G25" s="32"/>
      <c r="H25" s="33">
        <f t="shared" si="8"/>
        <v>0</v>
      </c>
      <c r="I25" s="33"/>
      <c r="J25" s="32"/>
      <c r="K25" s="45">
        <f t="shared" si="9"/>
        <v>0</v>
      </c>
      <c r="L25" s="33"/>
      <c r="M25" s="32"/>
      <c r="N25" s="33">
        <f t="shared" si="10"/>
        <v>0</v>
      </c>
      <c r="Q25" s="32" t="s">
        <v>236</v>
      </c>
      <c r="R25" s="32"/>
      <c r="S25" s="32"/>
      <c r="T25" s="32">
        <f t="shared" si="11"/>
        <v>0</v>
      </c>
      <c r="U25" s="33"/>
      <c r="V25" s="32"/>
      <c r="W25" s="33">
        <f t="shared" si="12"/>
        <v>0</v>
      </c>
      <c r="X25" s="33"/>
      <c r="Y25" s="32"/>
      <c r="Z25" s="33">
        <f t="shared" si="13"/>
        <v>0</v>
      </c>
    </row>
    <row r="26" spans="2:26" hidden="1">
      <c r="B26" s="32" t="s">
        <v>237</v>
      </c>
      <c r="C26" s="33"/>
      <c r="D26" s="32"/>
      <c r="E26" s="33">
        <f t="shared" si="7"/>
        <v>0</v>
      </c>
      <c r="F26" s="33"/>
      <c r="G26" s="32"/>
      <c r="H26" s="33">
        <f t="shared" si="8"/>
        <v>0</v>
      </c>
      <c r="I26" s="33"/>
      <c r="J26" s="32"/>
      <c r="K26" s="45">
        <f t="shared" si="9"/>
        <v>0</v>
      </c>
      <c r="L26" s="33"/>
      <c r="M26" s="32"/>
      <c r="N26" s="33">
        <f t="shared" si="10"/>
        <v>0</v>
      </c>
      <c r="Q26" s="32" t="s">
        <v>237</v>
      </c>
      <c r="R26" s="32"/>
      <c r="S26" s="32"/>
      <c r="T26" s="32">
        <f t="shared" si="11"/>
        <v>0</v>
      </c>
      <c r="U26" s="33"/>
      <c r="V26" s="32"/>
      <c r="W26" s="33">
        <f t="shared" si="12"/>
        <v>0</v>
      </c>
      <c r="X26" s="33"/>
      <c r="Y26" s="32"/>
      <c r="Z26" s="33">
        <f t="shared" si="13"/>
        <v>0</v>
      </c>
    </row>
    <row r="27" spans="2:26" hidden="1">
      <c r="B27" s="32" t="s">
        <v>238</v>
      </c>
      <c r="C27" s="33"/>
      <c r="D27" s="32"/>
      <c r="E27" s="33">
        <f t="shared" si="7"/>
        <v>0</v>
      </c>
      <c r="F27" s="33"/>
      <c r="G27" s="32"/>
      <c r="H27" s="33">
        <f t="shared" si="8"/>
        <v>0</v>
      </c>
      <c r="I27" s="33"/>
      <c r="J27" s="32"/>
      <c r="K27" s="45">
        <f t="shared" si="9"/>
        <v>0</v>
      </c>
      <c r="L27" s="33"/>
      <c r="M27" s="32"/>
      <c r="N27" s="33">
        <f t="shared" si="10"/>
        <v>0</v>
      </c>
      <c r="Q27" s="32" t="s">
        <v>238</v>
      </c>
      <c r="R27" s="32"/>
      <c r="S27" s="32"/>
      <c r="T27" s="32">
        <f t="shared" si="11"/>
        <v>0</v>
      </c>
      <c r="U27" s="33"/>
      <c r="V27" s="32"/>
      <c r="W27" s="33">
        <f t="shared" si="12"/>
        <v>0</v>
      </c>
      <c r="X27" s="33"/>
      <c r="Y27" s="32"/>
      <c r="Z27" s="33">
        <f t="shared" si="13"/>
        <v>0</v>
      </c>
    </row>
    <row r="28" spans="2:26" hidden="1">
      <c r="B28" s="32" t="s">
        <v>239</v>
      </c>
      <c r="C28" s="33"/>
      <c r="D28" s="32">
        <v>1</v>
      </c>
      <c r="E28" s="33">
        <f t="shared" si="7"/>
        <v>0</v>
      </c>
      <c r="F28" s="33"/>
      <c r="G28" s="32">
        <v>1</v>
      </c>
      <c r="H28" s="33">
        <f t="shared" si="8"/>
        <v>0</v>
      </c>
      <c r="I28" s="33"/>
      <c r="J28" s="32">
        <v>1</v>
      </c>
      <c r="K28" s="45">
        <f t="shared" si="9"/>
        <v>0</v>
      </c>
      <c r="L28" s="33"/>
      <c r="M28" s="32">
        <v>1</v>
      </c>
      <c r="N28" s="33">
        <f t="shared" si="10"/>
        <v>0</v>
      </c>
      <c r="Q28" s="32" t="s">
        <v>239</v>
      </c>
      <c r="R28" s="32"/>
      <c r="S28" s="32">
        <v>1</v>
      </c>
      <c r="T28" s="32">
        <f t="shared" si="11"/>
        <v>0</v>
      </c>
      <c r="U28" s="33"/>
      <c r="V28" s="32">
        <v>1</v>
      </c>
      <c r="W28" s="33">
        <f t="shared" si="12"/>
        <v>0</v>
      </c>
      <c r="X28" s="33"/>
      <c r="Y28" s="32">
        <v>1</v>
      </c>
      <c r="Z28" s="33">
        <f t="shared" si="13"/>
        <v>0</v>
      </c>
    </row>
    <row r="29" spans="2:26" hidden="1">
      <c r="B29" s="32" t="s">
        <v>240</v>
      </c>
      <c r="C29" s="33"/>
      <c r="D29" s="32">
        <v>1</v>
      </c>
      <c r="E29" s="33">
        <f t="shared" si="7"/>
        <v>0</v>
      </c>
      <c r="F29" s="33"/>
      <c r="G29" s="32">
        <v>1</v>
      </c>
      <c r="H29" s="33">
        <f t="shared" si="8"/>
        <v>0</v>
      </c>
      <c r="I29" s="33"/>
      <c r="J29" s="32">
        <v>1</v>
      </c>
      <c r="K29" s="45">
        <f t="shared" si="9"/>
        <v>0</v>
      </c>
      <c r="L29" s="33"/>
      <c r="M29" s="32">
        <v>1</v>
      </c>
      <c r="N29" s="33">
        <f t="shared" si="10"/>
        <v>0</v>
      </c>
      <c r="Q29" s="32" t="s">
        <v>240</v>
      </c>
      <c r="R29" s="32"/>
      <c r="S29" s="32">
        <v>1</v>
      </c>
      <c r="T29" s="32">
        <f t="shared" si="11"/>
        <v>0</v>
      </c>
      <c r="U29" s="33"/>
      <c r="V29" s="32">
        <v>1</v>
      </c>
      <c r="W29" s="33">
        <f t="shared" si="12"/>
        <v>0</v>
      </c>
      <c r="X29" s="33"/>
      <c r="Y29" s="32">
        <v>1</v>
      </c>
      <c r="Z29" s="33">
        <f t="shared" si="13"/>
        <v>0</v>
      </c>
    </row>
    <row r="30" spans="2:26" hidden="1">
      <c r="B30" s="32" t="s">
        <v>241</v>
      </c>
      <c r="C30" s="33"/>
      <c r="D30" s="32">
        <v>1</v>
      </c>
      <c r="E30" s="33">
        <f t="shared" si="7"/>
        <v>0</v>
      </c>
      <c r="F30" s="33"/>
      <c r="G30" s="32">
        <v>1</v>
      </c>
      <c r="H30" s="33">
        <f t="shared" si="8"/>
        <v>0</v>
      </c>
      <c r="I30" s="33"/>
      <c r="J30" s="32">
        <v>1</v>
      </c>
      <c r="K30" s="45">
        <f t="shared" si="9"/>
        <v>0</v>
      </c>
      <c r="L30" s="33"/>
      <c r="M30" s="32">
        <v>1</v>
      </c>
      <c r="N30" s="33">
        <f t="shared" si="10"/>
        <v>0</v>
      </c>
      <c r="Q30" s="32" t="s">
        <v>241</v>
      </c>
      <c r="R30" s="32"/>
      <c r="S30" s="32">
        <v>1</v>
      </c>
      <c r="T30" s="32">
        <f t="shared" si="11"/>
        <v>0</v>
      </c>
      <c r="U30" s="33"/>
      <c r="V30" s="32">
        <v>1</v>
      </c>
      <c r="W30" s="33">
        <f t="shared" si="12"/>
        <v>0</v>
      </c>
      <c r="X30" s="33"/>
      <c r="Y30" s="32">
        <v>1</v>
      </c>
      <c r="Z30" s="33">
        <f t="shared" si="13"/>
        <v>0</v>
      </c>
    </row>
    <row r="31" spans="2:26" hidden="1">
      <c r="B31" s="35"/>
      <c r="C31" s="35"/>
      <c r="D31" s="31" t="s">
        <v>48</v>
      </c>
      <c r="E31" s="36">
        <f>SUM(E22:E30)</f>
        <v>0</v>
      </c>
      <c r="F31" s="35"/>
      <c r="G31" s="31" t="s">
        <v>48</v>
      </c>
      <c r="H31" s="36">
        <f>SUM(H22:H30)</f>
        <v>0</v>
      </c>
      <c r="I31" s="35"/>
      <c r="J31" s="31" t="s">
        <v>48</v>
      </c>
      <c r="K31" s="36">
        <f>SUM(K22:K30)</f>
        <v>0</v>
      </c>
      <c r="L31" s="35"/>
      <c r="M31" s="31" t="s">
        <v>48</v>
      </c>
      <c r="N31" s="36">
        <f>SUM(N22:N30)</f>
        <v>0</v>
      </c>
      <c r="Q31" s="35"/>
      <c r="R31" s="35"/>
      <c r="S31" s="31" t="s">
        <v>48</v>
      </c>
      <c r="T31" s="35">
        <f>SUM(T22:T30)</f>
        <v>0</v>
      </c>
      <c r="U31" s="35"/>
      <c r="V31" s="31" t="s">
        <v>48</v>
      </c>
      <c r="W31" s="51">
        <f>SUM(W22:W30)</f>
        <v>0</v>
      </c>
      <c r="X31" s="35"/>
      <c r="Y31" s="31" t="s">
        <v>48</v>
      </c>
      <c r="Z31" s="36">
        <f>SUM(Z22:Z30)</f>
        <v>0</v>
      </c>
    </row>
    <row r="32" spans="2:26">
      <c r="E32" s="28">
        <v>77650000</v>
      </c>
      <c r="F32" s="56">
        <f>+F6-E32</f>
        <v>-8966000</v>
      </c>
      <c r="N32" s="49">
        <f>+H31+K31+N31</f>
        <v>0</v>
      </c>
      <c r="Z32" s="49">
        <f>+T31+W31+Z31</f>
        <v>0</v>
      </c>
    </row>
    <row r="33" spans="2:26">
      <c r="N33" s="49"/>
      <c r="Z33" s="49"/>
    </row>
    <row r="34" spans="2:26">
      <c r="B34" s="340" t="s">
        <v>6</v>
      </c>
      <c r="C34" s="330" t="s">
        <v>3</v>
      </c>
      <c r="D34" s="331"/>
      <c r="E34" s="332"/>
      <c r="F34" s="330" t="s">
        <v>10</v>
      </c>
      <c r="G34" s="331"/>
      <c r="H34" s="332"/>
      <c r="I34" s="330" t="s">
        <v>15</v>
      </c>
      <c r="J34" s="331"/>
      <c r="K34" s="332"/>
      <c r="L34" s="330" t="s">
        <v>17</v>
      </c>
      <c r="M34" s="331"/>
      <c r="N34" s="332"/>
      <c r="Q34" s="340" t="s">
        <v>6</v>
      </c>
      <c r="R34" s="330" t="s">
        <v>10</v>
      </c>
      <c r="S34" s="331"/>
      <c r="T34" s="332"/>
      <c r="U34" s="330" t="s">
        <v>15</v>
      </c>
      <c r="V34" s="331"/>
      <c r="W34" s="332"/>
      <c r="X34" s="330" t="s">
        <v>17</v>
      </c>
      <c r="Y34" s="331"/>
      <c r="Z34" s="332"/>
    </row>
    <row r="35" spans="2:26">
      <c r="B35" s="341"/>
      <c r="C35" s="30" t="s">
        <v>180</v>
      </c>
      <c r="D35" s="31" t="s">
        <v>41</v>
      </c>
      <c r="E35" s="31" t="s">
        <v>44</v>
      </c>
      <c r="F35" s="30" t="s">
        <v>180</v>
      </c>
      <c r="G35" s="31" t="s">
        <v>41</v>
      </c>
      <c r="H35" s="31" t="s">
        <v>44</v>
      </c>
      <c r="I35" s="30" t="s">
        <v>180</v>
      </c>
      <c r="J35" s="31" t="s">
        <v>41</v>
      </c>
      <c r="K35" s="31" t="s">
        <v>44</v>
      </c>
      <c r="L35" s="30" t="s">
        <v>180</v>
      </c>
      <c r="M35" s="31" t="s">
        <v>41</v>
      </c>
      <c r="N35" s="31" t="s">
        <v>44</v>
      </c>
      <c r="Q35" s="341"/>
      <c r="R35" s="30" t="s">
        <v>180</v>
      </c>
      <c r="S35" s="31" t="s">
        <v>41</v>
      </c>
      <c r="T35" s="31" t="s">
        <v>44</v>
      </c>
      <c r="U35" s="30" t="s">
        <v>180</v>
      </c>
      <c r="V35" s="31" t="s">
        <v>41</v>
      </c>
      <c r="W35" s="31" t="s">
        <v>44</v>
      </c>
      <c r="X35" s="30" t="s">
        <v>180</v>
      </c>
      <c r="Y35" s="31" t="s">
        <v>41</v>
      </c>
      <c r="Z35" s="31" t="s">
        <v>44</v>
      </c>
    </row>
    <row r="36" spans="2:26">
      <c r="B36" s="32" t="s">
        <v>233</v>
      </c>
      <c r="C36" s="33"/>
      <c r="D36" s="32"/>
      <c r="E36" s="33">
        <f t="shared" ref="E36:E44" si="14">+C36*D36</f>
        <v>0</v>
      </c>
      <c r="F36" s="33">
        <v>81003333</v>
      </c>
      <c r="G36" s="32">
        <v>1</v>
      </c>
      <c r="H36" s="33">
        <f>+F36*G36</f>
        <v>81003333</v>
      </c>
      <c r="I36" s="33"/>
      <c r="J36" s="32">
        <v>1</v>
      </c>
      <c r="K36" s="33">
        <f>+I36*J36</f>
        <v>0</v>
      </c>
      <c r="L36" s="33"/>
      <c r="M36" s="32">
        <v>1</v>
      </c>
      <c r="N36" s="33">
        <f>+L36*M36</f>
        <v>0</v>
      </c>
      <c r="Q36" s="32" t="s">
        <v>233</v>
      </c>
      <c r="R36" s="33">
        <v>81003333</v>
      </c>
      <c r="S36" s="32">
        <v>1</v>
      </c>
      <c r="T36" s="33">
        <f>+R36*S36</f>
        <v>81003333</v>
      </c>
      <c r="U36" s="33"/>
      <c r="V36" s="32">
        <v>1</v>
      </c>
      <c r="W36" s="33">
        <f>+U36*V36</f>
        <v>0</v>
      </c>
      <c r="X36" s="33"/>
      <c r="Y36" s="32">
        <v>1</v>
      </c>
      <c r="Z36" s="33">
        <f>+X36*Y36</f>
        <v>0</v>
      </c>
    </row>
    <row r="37" spans="2:26">
      <c r="B37" s="32" t="s">
        <v>234</v>
      </c>
      <c r="C37" s="33"/>
      <c r="D37" s="32"/>
      <c r="E37" s="33">
        <f t="shared" si="14"/>
        <v>0</v>
      </c>
      <c r="F37" s="33">
        <v>5273100</v>
      </c>
      <c r="G37" s="32">
        <v>1</v>
      </c>
      <c r="H37" s="33">
        <f t="shared" ref="H37:H44" si="15">+F37*G37</f>
        <v>5273100</v>
      </c>
      <c r="I37" s="33"/>
      <c r="J37" s="32">
        <v>1</v>
      </c>
      <c r="K37" s="33">
        <f t="shared" ref="K37:K44" si="16">+I37*J37</f>
        <v>0</v>
      </c>
      <c r="L37" s="33"/>
      <c r="M37" s="32">
        <v>1</v>
      </c>
      <c r="N37" s="33">
        <f t="shared" ref="N37:N44" si="17">+L37*M37</f>
        <v>0</v>
      </c>
      <c r="Q37" s="32" t="s">
        <v>234</v>
      </c>
      <c r="R37" s="33">
        <v>5273100</v>
      </c>
      <c r="S37" s="32">
        <v>1</v>
      </c>
      <c r="T37" s="33">
        <f t="shared" ref="T37:T44" si="18">+R37*S37</f>
        <v>5273100</v>
      </c>
      <c r="U37" s="33"/>
      <c r="V37" s="32">
        <v>1</v>
      </c>
      <c r="W37" s="33">
        <f t="shared" ref="W37:W44" si="19">+U37*V37</f>
        <v>0</v>
      </c>
      <c r="X37" s="33"/>
      <c r="Y37" s="32">
        <v>1</v>
      </c>
      <c r="Z37" s="33">
        <f t="shared" ref="Z37:Z44" si="20">+X37*Y37</f>
        <v>0</v>
      </c>
    </row>
    <row r="38" spans="2:26">
      <c r="B38" s="32" t="s">
        <v>235</v>
      </c>
      <c r="C38" s="33"/>
      <c r="D38" s="32"/>
      <c r="E38" s="33">
        <f t="shared" si="14"/>
        <v>0</v>
      </c>
      <c r="F38" s="33">
        <v>15000</v>
      </c>
      <c r="G38" s="32">
        <v>0</v>
      </c>
      <c r="H38" s="33">
        <f t="shared" si="15"/>
        <v>0</v>
      </c>
      <c r="I38" s="33"/>
      <c r="J38" s="32"/>
      <c r="K38" s="33">
        <f t="shared" si="16"/>
        <v>0</v>
      </c>
      <c r="L38" s="33"/>
      <c r="M38" s="32"/>
      <c r="N38" s="33">
        <f t="shared" si="17"/>
        <v>0</v>
      </c>
      <c r="Q38" s="32" t="s">
        <v>235</v>
      </c>
      <c r="R38" s="33">
        <v>15000</v>
      </c>
      <c r="S38" s="32">
        <v>0</v>
      </c>
      <c r="T38" s="33">
        <f t="shared" si="18"/>
        <v>0</v>
      </c>
      <c r="U38" s="33"/>
      <c r="V38" s="32"/>
      <c r="W38" s="33">
        <f t="shared" si="19"/>
        <v>0</v>
      </c>
      <c r="X38" s="33"/>
      <c r="Y38" s="32"/>
      <c r="Z38" s="33">
        <f t="shared" si="20"/>
        <v>0</v>
      </c>
    </row>
    <row r="39" spans="2:26">
      <c r="B39" s="32" t="s">
        <v>236</v>
      </c>
      <c r="C39" s="33"/>
      <c r="D39" s="32"/>
      <c r="E39" s="33">
        <f t="shared" si="14"/>
        <v>0</v>
      </c>
      <c r="F39" s="33">
        <v>150000</v>
      </c>
      <c r="G39" s="32">
        <v>22</v>
      </c>
      <c r="H39" s="33">
        <f t="shared" si="15"/>
        <v>3300000</v>
      </c>
      <c r="I39" s="33"/>
      <c r="J39" s="32"/>
      <c r="K39" s="33">
        <f t="shared" si="16"/>
        <v>0</v>
      </c>
      <c r="L39" s="33"/>
      <c r="M39" s="32"/>
      <c r="N39" s="33">
        <f t="shared" si="17"/>
        <v>0</v>
      </c>
      <c r="Q39" s="32" t="s">
        <v>236</v>
      </c>
      <c r="R39" s="33">
        <v>150000</v>
      </c>
      <c r="S39" s="32">
        <v>22</v>
      </c>
      <c r="T39" s="33">
        <f t="shared" si="18"/>
        <v>3300000</v>
      </c>
      <c r="U39" s="33"/>
      <c r="V39" s="32"/>
      <c r="W39" s="33">
        <f t="shared" si="19"/>
        <v>0</v>
      </c>
      <c r="X39" s="33"/>
      <c r="Y39" s="32"/>
      <c r="Z39" s="33">
        <f t="shared" si="20"/>
        <v>0</v>
      </c>
    </row>
    <row r="40" spans="2:26">
      <c r="B40" s="32" t="s">
        <v>237</v>
      </c>
      <c r="C40" s="33"/>
      <c r="D40" s="32"/>
      <c r="E40" s="33">
        <f t="shared" si="14"/>
        <v>0</v>
      </c>
      <c r="F40" s="33">
        <v>3500000</v>
      </c>
      <c r="G40" s="32">
        <v>0</v>
      </c>
      <c r="H40" s="33">
        <f t="shared" si="15"/>
        <v>0</v>
      </c>
      <c r="I40" s="33"/>
      <c r="J40" s="32"/>
      <c r="K40" s="33">
        <f t="shared" si="16"/>
        <v>0</v>
      </c>
      <c r="L40" s="33"/>
      <c r="M40" s="32"/>
      <c r="N40" s="33">
        <f t="shared" si="17"/>
        <v>0</v>
      </c>
      <c r="Q40" s="32" t="s">
        <v>237</v>
      </c>
      <c r="R40" s="33">
        <v>3500000</v>
      </c>
      <c r="S40" s="32">
        <v>0</v>
      </c>
      <c r="T40" s="33">
        <f t="shared" si="18"/>
        <v>0</v>
      </c>
      <c r="U40" s="33"/>
      <c r="V40" s="32"/>
      <c r="W40" s="33">
        <f t="shared" si="19"/>
        <v>0</v>
      </c>
      <c r="X40" s="33"/>
      <c r="Y40" s="32"/>
      <c r="Z40" s="33">
        <f t="shared" si="20"/>
        <v>0</v>
      </c>
    </row>
    <row r="41" spans="2:26">
      <c r="B41" s="32" t="s">
        <v>238</v>
      </c>
      <c r="C41" s="33"/>
      <c r="D41" s="32"/>
      <c r="E41" s="33">
        <f t="shared" si="14"/>
        <v>0</v>
      </c>
      <c r="F41" s="33">
        <v>2625000</v>
      </c>
      <c r="G41" s="32">
        <v>0</v>
      </c>
      <c r="H41" s="33">
        <f t="shared" si="15"/>
        <v>0</v>
      </c>
      <c r="I41" s="33"/>
      <c r="J41" s="32"/>
      <c r="K41" s="33">
        <f t="shared" si="16"/>
        <v>0</v>
      </c>
      <c r="L41" s="33"/>
      <c r="M41" s="32"/>
      <c r="N41" s="33">
        <f t="shared" si="17"/>
        <v>0</v>
      </c>
      <c r="Q41" s="32" t="s">
        <v>238</v>
      </c>
      <c r="R41" s="33">
        <v>2625000</v>
      </c>
      <c r="S41" s="32">
        <v>0</v>
      </c>
      <c r="T41" s="33">
        <f t="shared" si="18"/>
        <v>0</v>
      </c>
      <c r="U41" s="33"/>
      <c r="V41" s="32"/>
      <c r="W41" s="33">
        <f t="shared" si="19"/>
        <v>0</v>
      </c>
      <c r="X41" s="33"/>
      <c r="Y41" s="32"/>
      <c r="Z41" s="33">
        <f t="shared" si="20"/>
        <v>0</v>
      </c>
    </row>
    <row r="42" spans="2:26">
      <c r="B42" s="32" t="s">
        <v>239</v>
      </c>
      <c r="C42" s="33"/>
      <c r="D42" s="32"/>
      <c r="E42" s="33">
        <f t="shared" si="14"/>
        <v>0</v>
      </c>
      <c r="F42" s="33">
        <v>300000</v>
      </c>
      <c r="G42" s="32">
        <v>0</v>
      </c>
      <c r="H42" s="33">
        <f t="shared" si="15"/>
        <v>0</v>
      </c>
      <c r="I42" s="33"/>
      <c r="J42" s="32">
        <v>1</v>
      </c>
      <c r="K42" s="33">
        <f t="shared" si="16"/>
        <v>0</v>
      </c>
      <c r="L42" s="33"/>
      <c r="M42" s="32">
        <v>1</v>
      </c>
      <c r="N42" s="33">
        <f t="shared" si="17"/>
        <v>0</v>
      </c>
      <c r="Q42" s="32" t="s">
        <v>239</v>
      </c>
      <c r="R42" s="33">
        <v>300000</v>
      </c>
      <c r="S42" s="32">
        <v>0</v>
      </c>
      <c r="T42" s="33">
        <f t="shared" si="18"/>
        <v>0</v>
      </c>
      <c r="U42" s="33"/>
      <c r="V42" s="32">
        <v>1</v>
      </c>
      <c r="W42" s="33">
        <f t="shared" si="19"/>
        <v>0</v>
      </c>
      <c r="X42" s="33"/>
      <c r="Y42" s="32">
        <v>1</v>
      </c>
      <c r="Z42" s="33">
        <f t="shared" si="20"/>
        <v>0</v>
      </c>
    </row>
    <row r="43" spans="2:26">
      <c r="B43" s="32" t="s">
        <v>240</v>
      </c>
      <c r="C43" s="33"/>
      <c r="D43" s="32"/>
      <c r="E43" s="33">
        <f t="shared" si="14"/>
        <v>0</v>
      </c>
      <c r="F43" s="33">
        <v>200000</v>
      </c>
      <c r="G43" s="32">
        <v>0</v>
      </c>
      <c r="H43" s="33">
        <f t="shared" si="15"/>
        <v>0</v>
      </c>
      <c r="I43" s="33"/>
      <c r="J43" s="32">
        <v>1</v>
      </c>
      <c r="K43" s="33">
        <f t="shared" si="16"/>
        <v>0</v>
      </c>
      <c r="L43" s="33"/>
      <c r="M43" s="32">
        <v>1</v>
      </c>
      <c r="N43" s="33">
        <f t="shared" si="17"/>
        <v>0</v>
      </c>
      <c r="Q43" s="32" t="s">
        <v>240</v>
      </c>
      <c r="R43" s="33">
        <v>200000</v>
      </c>
      <c r="S43" s="32">
        <v>0</v>
      </c>
      <c r="T43" s="33">
        <f t="shared" si="18"/>
        <v>0</v>
      </c>
      <c r="U43" s="33"/>
      <c r="V43" s="32">
        <v>1</v>
      </c>
      <c r="W43" s="33">
        <f t="shared" si="19"/>
        <v>0</v>
      </c>
      <c r="X43" s="33"/>
      <c r="Y43" s="32">
        <v>1</v>
      </c>
      <c r="Z43" s="33">
        <f t="shared" si="20"/>
        <v>0</v>
      </c>
    </row>
    <row r="44" spans="2:26">
      <c r="B44" s="32" t="s">
        <v>241</v>
      </c>
      <c r="C44" s="33"/>
      <c r="D44" s="32"/>
      <c r="E44" s="33">
        <f t="shared" si="14"/>
        <v>0</v>
      </c>
      <c r="F44" s="33">
        <v>292950</v>
      </c>
      <c r="G44" s="32">
        <v>0</v>
      </c>
      <c r="H44" s="33">
        <f t="shared" si="15"/>
        <v>0</v>
      </c>
      <c r="I44" s="33"/>
      <c r="J44" s="32">
        <v>1</v>
      </c>
      <c r="K44" s="33">
        <f t="shared" si="16"/>
        <v>0</v>
      </c>
      <c r="L44" s="33"/>
      <c r="M44" s="32">
        <v>1</v>
      </c>
      <c r="N44" s="33">
        <f t="shared" si="17"/>
        <v>0</v>
      </c>
      <c r="Q44" s="32" t="s">
        <v>241</v>
      </c>
      <c r="R44" s="33">
        <v>292950</v>
      </c>
      <c r="S44" s="32">
        <v>0</v>
      </c>
      <c r="T44" s="33">
        <f t="shared" si="18"/>
        <v>0</v>
      </c>
      <c r="U44" s="33"/>
      <c r="V44" s="32">
        <v>1</v>
      </c>
      <c r="W44" s="33">
        <f t="shared" si="19"/>
        <v>0</v>
      </c>
      <c r="X44" s="33"/>
      <c r="Y44" s="32">
        <v>1</v>
      </c>
      <c r="Z44" s="33">
        <f t="shared" si="20"/>
        <v>0</v>
      </c>
    </row>
    <row r="45" spans="2:26">
      <c r="B45" s="35"/>
      <c r="C45" s="35"/>
      <c r="D45" s="31" t="s">
        <v>48</v>
      </c>
      <c r="E45" s="36">
        <f>SUM(E36:E44)</f>
        <v>0</v>
      </c>
      <c r="F45" s="35"/>
      <c r="G45" s="32">
        <v>0</v>
      </c>
      <c r="H45" s="36">
        <f>SUM(H36:H44)</f>
        <v>89576433</v>
      </c>
      <c r="I45" s="35"/>
      <c r="J45" s="31" t="s">
        <v>48</v>
      </c>
      <c r="K45" s="55">
        <f>SUM(K36:K44)</f>
        <v>0</v>
      </c>
      <c r="L45" s="35"/>
      <c r="M45" s="31" t="s">
        <v>48</v>
      </c>
      <c r="N45" s="36">
        <f>SUM(N36:N44)</f>
        <v>0</v>
      </c>
      <c r="Q45" s="35"/>
      <c r="R45" s="35"/>
      <c r="S45" s="31" t="s">
        <v>48</v>
      </c>
      <c r="T45" s="36">
        <f>SUM(T36:T44)</f>
        <v>89576433</v>
      </c>
      <c r="U45" s="35"/>
      <c r="V45" s="31" t="s">
        <v>48</v>
      </c>
      <c r="W45" s="51">
        <f>SUM(W36:W44)</f>
        <v>0</v>
      </c>
      <c r="X45" s="35"/>
      <c r="Y45" s="31" t="s">
        <v>48</v>
      </c>
      <c r="Z45" s="36">
        <f>SUM(Z36:Z44)</f>
        <v>0</v>
      </c>
    </row>
    <row r="46" spans="2:26">
      <c r="N46" s="49">
        <f>+H45+K45+N45</f>
        <v>89576433</v>
      </c>
      <c r="Z46" s="49">
        <f>+T45+W45+Z45</f>
        <v>89576433</v>
      </c>
    </row>
    <row r="49" spans="2:26">
      <c r="B49" s="340" t="s">
        <v>7</v>
      </c>
      <c r="C49" s="330" t="s">
        <v>3</v>
      </c>
      <c r="D49" s="331"/>
      <c r="E49" s="332"/>
      <c r="F49" s="330" t="s">
        <v>10</v>
      </c>
      <c r="G49" s="331"/>
      <c r="H49" s="332"/>
      <c r="I49" s="330" t="s">
        <v>15</v>
      </c>
      <c r="J49" s="331"/>
      <c r="K49" s="332"/>
      <c r="L49" s="330" t="s">
        <v>17</v>
      </c>
      <c r="M49" s="331"/>
      <c r="N49" s="332"/>
      <c r="Q49" s="340" t="s">
        <v>7</v>
      </c>
      <c r="R49" s="330" t="s">
        <v>10</v>
      </c>
      <c r="S49" s="331"/>
      <c r="T49" s="332"/>
      <c r="U49" s="330" t="s">
        <v>15</v>
      </c>
      <c r="V49" s="331"/>
      <c r="W49" s="332"/>
      <c r="X49" s="330" t="s">
        <v>17</v>
      </c>
      <c r="Y49" s="331"/>
      <c r="Z49" s="332"/>
    </row>
    <row r="50" spans="2:26">
      <c r="B50" s="341"/>
      <c r="C50" s="30" t="s">
        <v>180</v>
      </c>
      <c r="D50" s="31" t="s">
        <v>41</v>
      </c>
      <c r="E50" s="31" t="s">
        <v>44</v>
      </c>
      <c r="F50" s="30" t="s">
        <v>180</v>
      </c>
      <c r="G50" s="31" t="s">
        <v>41</v>
      </c>
      <c r="H50" s="31" t="s">
        <v>44</v>
      </c>
      <c r="I50" s="30" t="s">
        <v>180</v>
      </c>
      <c r="J50" s="31" t="s">
        <v>41</v>
      </c>
      <c r="K50" s="31" t="s">
        <v>44</v>
      </c>
      <c r="L50" s="30" t="s">
        <v>180</v>
      </c>
      <c r="M50" s="31" t="s">
        <v>41</v>
      </c>
      <c r="N50" s="31" t="s">
        <v>44</v>
      </c>
      <c r="Q50" s="341"/>
      <c r="R50" s="30" t="s">
        <v>180</v>
      </c>
      <c r="S50" s="31" t="s">
        <v>41</v>
      </c>
      <c r="T50" s="31" t="s">
        <v>44</v>
      </c>
      <c r="U50" s="30" t="s">
        <v>180</v>
      </c>
      <c r="V50" s="31" t="s">
        <v>41</v>
      </c>
      <c r="W50" s="31" t="s">
        <v>44</v>
      </c>
      <c r="X50" s="30" t="s">
        <v>180</v>
      </c>
      <c r="Y50" s="31" t="s">
        <v>41</v>
      </c>
      <c r="Z50" s="31" t="s">
        <v>44</v>
      </c>
    </row>
    <row r="51" spans="2:26">
      <c r="B51" s="32" t="s">
        <v>233</v>
      </c>
      <c r="C51" s="33"/>
      <c r="D51" s="32"/>
      <c r="E51" s="33">
        <f t="shared" ref="E51:E59" si="21">+C51*D51</f>
        <v>0</v>
      </c>
      <c r="F51" s="33">
        <v>120022787</v>
      </c>
      <c r="G51" s="32">
        <v>1</v>
      </c>
      <c r="H51" s="33">
        <f>+F51*G51</f>
        <v>120022787</v>
      </c>
      <c r="I51" s="45"/>
      <c r="J51" s="32">
        <v>1</v>
      </c>
      <c r="K51" s="33">
        <f>+I51*J51</f>
        <v>0</v>
      </c>
      <c r="L51" s="33"/>
      <c r="M51" s="32">
        <v>1</v>
      </c>
      <c r="N51" s="33">
        <f>+L51*M51</f>
        <v>0</v>
      </c>
      <c r="Q51" s="32" t="s">
        <v>233</v>
      </c>
      <c r="R51" s="33">
        <v>120022787</v>
      </c>
      <c r="S51" s="32">
        <v>1</v>
      </c>
      <c r="T51" s="33">
        <f>+R51*S51</f>
        <v>120022787</v>
      </c>
      <c r="U51" s="33"/>
      <c r="V51" s="32">
        <v>1</v>
      </c>
      <c r="W51" s="33">
        <f>+U51*V51</f>
        <v>0</v>
      </c>
      <c r="X51" s="33"/>
      <c r="Y51" s="32">
        <v>1</v>
      </c>
      <c r="Z51" s="33">
        <f>+X51*Y51</f>
        <v>0</v>
      </c>
    </row>
    <row r="52" spans="2:26">
      <c r="B52" s="32" t="s">
        <v>234</v>
      </c>
      <c r="C52" s="33"/>
      <c r="D52" s="32"/>
      <c r="E52" s="33">
        <f t="shared" si="21"/>
        <v>0</v>
      </c>
      <c r="F52" s="33">
        <v>5624640</v>
      </c>
      <c r="G52" s="32">
        <v>1</v>
      </c>
      <c r="H52" s="33">
        <f t="shared" ref="H52:H59" si="22">+F52*G52</f>
        <v>5624640</v>
      </c>
      <c r="I52" s="45"/>
      <c r="J52" s="32">
        <v>1</v>
      </c>
      <c r="K52" s="33">
        <f t="shared" ref="K52:K59" si="23">+I52*J52</f>
        <v>0</v>
      </c>
      <c r="L52" s="33"/>
      <c r="M52" s="32">
        <v>1</v>
      </c>
      <c r="N52" s="33">
        <f t="shared" ref="N52:N59" si="24">+L52*M52</f>
        <v>0</v>
      </c>
      <c r="Q52" s="32" t="s">
        <v>234</v>
      </c>
      <c r="R52" s="33">
        <v>5624640</v>
      </c>
      <c r="S52" s="32">
        <v>1</v>
      </c>
      <c r="T52" s="33">
        <f t="shared" ref="T52:T59" si="25">+R52*S52</f>
        <v>5624640</v>
      </c>
      <c r="U52" s="33"/>
      <c r="V52" s="32">
        <v>1</v>
      </c>
      <c r="W52" s="33">
        <f t="shared" ref="W52:W59" si="26">+U52*V52</f>
        <v>0</v>
      </c>
      <c r="X52" s="33"/>
      <c r="Y52" s="32">
        <v>1</v>
      </c>
      <c r="Z52" s="33">
        <f t="shared" ref="Z52:Z59" si="27">+X52*Y52</f>
        <v>0</v>
      </c>
    </row>
    <row r="53" spans="2:26">
      <c r="B53" s="32" t="s">
        <v>235</v>
      </c>
      <c r="C53" s="33"/>
      <c r="D53" s="32"/>
      <c r="E53" s="33">
        <f t="shared" si="21"/>
        <v>0</v>
      </c>
      <c r="F53" s="33">
        <v>30000</v>
      </c>
      <c r="G53" s="32">
        <v>0</v>
      </c>
      <c r="H53" s="33">
        <f t="shared" si="22"/>
        <v>0</v>
      </c>
      <c r="I53" s="45"/>
      <c r="J53" s="32"/>
      <c r="K53" s="33">
        <f t="shared" si="23"/>
        <v>0</v>
      </c>
      <c r="L53" s="33"/>
      <c r="M53" s="32"/>
      <c r="N53" s="33">
        <f t="shared" si="24"/>
        <v>0</v>
      </c>
      <c r="Q53" s="32" t="s">
        <v>235</v>
      </c>
      <c r="R53" s="33">
        <v>25000</v>
      </c>
      <c r="S53" s="32">
        <v>0</v>
      </c>
      <c r="T53" s="33">
        <f t="shared" si="25"/>
        <v>0</v>
      </c>
      <c r="U53" s="33"/>
      <c r="V53" s="32"/>
      <c r="W53" s="33">
        <f t="shared" si="26"/>
        <v>0</v>
      </c>
      <c r="X53" s="33"/>
      <c r="Y53" s="32"/>
      <c r="Z53" s="33">
        <f t="shared" si="27"/>
        <v>0</v>
      </c>
    </row>
    <row r="54" spans="2:26">
      <c r="B54" s="32" t="s">
        <v>236</v>
      </c>
      <c r="C54" s="33"/>
      <c r="D54" s="32"/>
      <c r="E54" s="33">
        <f t="shared" si="21"/>
        <v>0</v>
      </c>
      <c r="F54" s="33">
        <v>300000</v>
      </c>
      <c r="G54" s="32">
        <v>22</v>
      </c>
      <c r="H54" s="33">
        <f t="shared" si="22"/>
        <v>6600000</v>
      </c>
      <c r="I54" s="45"/>
      <c r="J54" s="32"/>
      <c r="K54" s="33">
        <f t="shared" si="23"/>
        <v>0</v>
      </c>
      <c r="L54" s="33"/>
      <c r="M54" s="32"/>
      <c r="N54" s="33">
        <f t="shared" si="24"/>
        <v>0</v>
      </c>
      <c r="Q54" s="32" t="s">
        <v>236</v>
      </c>
      <c r="R54" s="33">
        <v>300000</v>
      </c>
      <c r="S54" s="32">
        <v>22</v>
      </c>
      <c r="T54" s="33">
        <f t="shared" si="25"/>
        <v>6600000</v>
      </c>
      <c r="U54" s="33"/>
      <c r="V54" s="32"/>
      <c r="W54" s="33">
        <f t="shared" si="26"/>
        <v>0</v>
      </c>
      <c r="X54" s="33"/>
      <c r="Y54" s="32"/>
      <c r="Z54" s="33">
        <f t="shared" si="27"/>
        <v>0</v>
      </c>
    </row>
    <row r="55" spans="2:26">
      <c r="B55" s="32" t="s">
        <v>237</v>
      </c>
      <c r="C55" s="33"/>
      <c r="D55" s="32"/>
      <c r="E55" s="33">
        <f t="shared" si="21"/>
        <v>0</v>
      </c>
      <c r="F55" s="33">
        <v>4800000</v>
      </c>
      <c r="G55" s="32">
        <v>0</v>
      </c>
      <c r="H55" s="33">
        <f t="shared" si="22"/>
        <v>0</v>
      </c>
      <c r="I55" s="45"/>
      <c r="J55" s="32"/>
      <c r="K55" s="33">
        <f t="shared" si="23"/>
        <v>0</v>
      </c>
      <c r="L55" s="33"/>
      <c r="M55" s="32"/>
      <c r="N55" s="33">
        <f t="shared" si="24"/>
        <v>0</v>
      </c>
      <c r="Q55" s="32" t="s">
        <v>237</v>
      </c>
      <c r="R55" s="33">
        <v>4400000</v>
      </c>
      <c r="S55" s="32">
        <v>0</v>
      </c>
      <c r="T55" s="33">
        <f t="shared" si="25"/>
        <v>0</v>
      </c>
      <c r="U55" s="33"/>
      <c r="V55" s="32"/>
      <c r="W55" s="33">
        <f t="shared" si="26"/>
        <v>0</v>
      </c>
      <c r="X55" s="33"/>
      <c r="Y55" s="32"/>
      <c r="Z55" s="33">
        <f t="shared" si="27"/>
        <v>0</v>
      </c>
    </row>
    <row r="56" spans="2:26">
      <c r="B56" s="32" t="s">
        <v>238</v>
      </c>
      <c r="C56" s="33"/>
      <c r="D56" s="32"/>
      <c r="E56" s="33">
        <f t="shared" si="21"/>
        <v>0</v>
      </c>
      <c r="F56" s="33">
        <v>3120000</v>
      </c>
      <c r="G56" s="32">
        <v>0</v>
      </c>
      <c r="H56" s="33">
        <f t="shared" si="22"/>
        <v>0</v>
      </c>
      <c r="I56" s="45"/>
      <c r="J56" s="32"/>
      <c r="K56" s="33">
        <f t="shared" si="23"/>
        <v>0</v>
      </c>
      <c r="L56" s="33"/>
      <c r="M56" s="32"/>
      <c r="N56" s="33">
        <f t="shared" si="24"/>
        <v>0</v>
      </c>
      <c r="Q56" s="32" t="s">
        <v>238</v>
      </c>
      <c r="R56" s="33">
        <v>2900000</v>
      </c>
      <c r="S56" s="32">
        <v>0</v>
      </c>
      <c r="T56" s="33">
        <f t="shared" si="25"/>
        <v>0</v>
      </c>
      <c r="U56" s="33"/>
      <c r="V56" s="32"/>
      <c r="W56" s="33">
        <f t="shared" si="26"/>
        <v>0</v>
      </c>
      <c r="X56" s="33"/>
      <c r="Y56" s="32"/>
      <c r="Z56" s="33">
        <f t="shared" si="27"/>
        <v>0</v>
      </c>
    </row>
    <row r="57" spans="2:26">
      <c r="B57" s="32" t="s">
        <v>239</v>
      </c>
      <c r="C57" s="33"/>
      <c r="D57" s="32"/>
      <c r="E57" s="33">
        <f t="shared" si="21"/>
        <v>0</v>
      </c>
      <c r="F57" s="33">
        <v>400000</v>
      </c>
      <c r="G57" s="32">
        <v>0</v>
      </c>
      <c r="H57" s="33">
        <f t="shared" si="22"/>
        <v>0</v>
      </c>
      <c r="I57" s="45"/>
      <c r="J57" s="32">
        <v>1</v>
      </c>
      <c r="K57" s="33">
        <f t="shared" si="23"/>
        <v>0</v>
      </c>
      <c r="L57" s="33"/>
      <c r="M57" s="32">
        <v>1</v>
      </c>
      <c r="N57" s="33">
        <f t="shared" si="24"/>
        <v>0</v>
      </c>
      <c r="Q57" s="32" t="s">
        <v>239</v>
      </c>
      <c r="R57" s="33">
        <v>400000</v>
      </c>
      <c r="S57" s="32">
        <v>0</v>
      </c>
      <c r="T57" s="33">
        <f t="shared" si="25"/>
        <v>0</v>
      </c>
      <c r="U57" s="33"/>
      <c r="V57" s="32">
        <v>1</v>
      </c>
      <c r="W57" s="33">
        <f t="shared" si="26"/>
        <v>0</v>
      </c>
      <c r="X57" s="33"/>
      <c r="Y57" s="32">
        <v>1</v>
      </c>
      <c r="Z57" s="33">
        <f t="shared" si="27"/>
        <v>0</v>
      </c>
    </row>
    <row r="58" spans="2:26">
      <c r="B58" s="32" t="s">
        <v>240</v>
      </c>
      <c r="C58" s="33"/>
      <c r="D58" s="32"/>
      <c r="E58" s="33">
        <f t="shared" si="21"/>
        <v>0</v>
      </c>
      <c r="F58" s="33">
        <v>500000</v>
      </c>
      <c r="G58" s="32">
        <v>0</v>
      </c>
      <c r="H58" s="33">
        <f t="shared" si="22"/>
        <v>0</v>
      </c>
      <c r="I58" s="45"/>
      <c r="J58" s="32">
        <v>1</v>
      </c>
      <c r="K58" s="33">
        <f t="shared" si="23"/>
        <v>0</v>
      </c>
      <c r="L58" s="33"/>
      <c r="M58" s="32">
        <v>1</v>
      </c>
      <c r="N58" s="33">
        <f t="shared" si="24"/>
        <v>0</v>
      </c>
      <c r="Q58" s="32" t="s">
        <v>240</v>
      </c>
      <c r="R58" s="33">
        <v>500000</v>
      </c>
      <c r="S58" s="32">
        <v>0</v>
      </c>
      <c r="T58" s="33">
        <f t="shared" si="25"/>
        <v>0</v>
      </c>
      <c r="U58" s="33"/>
      <c r="V58" s="32">
        <v>1</v>
      </c>
      <c r="W58" s="33">
        <f t="shared" si="26"/>
        <v>0</v>
      </c>
      <c r="X58" s="33"/>
      <c r="Y58" s="32">
        <v>1</v>
      </c>
      <c r="Z58" s="33">
        <f t="shared" si="27"/>
        <v>0</v>
      </c>
    </row>
    <row r="59" spans="2:26">
      <c r="B59" s="32" t="s">
        <v>241</v>
      </c>
      <c r="C59" s="33"/>
      <c r="D59" s="32"/>
      <c r="E59" s="33">
        <f t="shared" si="21"/>
        <v>0</v>
      </c>
      <c r="F59" s="33">
        <v>2700000</v>
      </c>
      <c r="G59" s="32">
        <v>0</v>
      </c>
      <c r="H59" s="33">
        <f t="shared" si="22"/>
        <v>0</v>
      </c>
      <c r="I59" s="45"/>
      <c r="J59" s="32">
        <v>1</v>
      </c>
      <c r="K59" s="33">
        <f t="shared" si="23"/>
        <v>0</v>
      </c>
      <c r="L59" s="33"/>
      <c r="M59" s="32">
        <v>1</v>
      </c>
      <c r="N59" s="33">
        <f t="shared" si="24"/>
        <v>0</v>
      </c>
      <c r="Q59" s="32" t="s">
        <v>241</v>
      </c>
      <c r="R59" s="33">
        <v>2250000</v>
      </c>
      <c r="S59" s="32">
        <v>0</v>
      </c>
      <c r="T59" s="33">
        <f t="shared" si="25"/>
        <v>0</v>
      </c>
      <c r="U59" s="33"/>
      <c r="V59" s="32">
        <v>1</v>
      </c>
      <c r="W59" s="33">
        <f t="shared" si="26"/>
        <v>0</v>
      </c>
      <c r="X59" s="33"/>
      <c r="Y59" s="32">
        <v>1</v>
      </c>
      <c r="Z59" s="33">
        <f t="shared" si="27"/>
        <v>0</v>
      </c>
    </row>
    <row r="60" spans="2:26">
      <c r="B60" s="35"/>
      <c r="C60" s="35"/>
      <c r="D60" s="31" t="s">
        <v>48</v>
      </c>
      <c r="E60" s="36">
        <f>SUM(E51:E59)</f>
        <v>0</v>
      </c>
      <c r="F60" s="35"/>
      <c r="G60" s="32">
        <v>0</v>
      </c>
      <c r="H60" s="36">
        <f>SUM(H51:H59)</f>
        <v>132247427</v>
      </c>
      <c r="I60" s="35"/>
      <c r="J60" s="31" t="s">
        <v>48</v>
      </c>
      <c r="K60" s="36">
        <f>SUM(K51:K59)</f>
        <v>0</v>
      </c>
      <c r="L60" s="36"/>
      <c r="M60" s="31" t="s">
        <v>48</v>
      </c>
      <c r="N60" s="36">
        <f>SUM(N51:N59)</f>
        <v>0</v>
      </c>
      <c r="Q60" s="35"/>
      <c r="R60" s="35"/>
      <c r="S60" s="31" t="s">
        <v>48</v>
      </c>
      <c r="T60" s="36">
        <f>SUM(T51:T59)</f>
        <v>132247427</v>
      </c>
      <c r="U60" s="35"/>
      <c r="V60" s="31" t="s">
        <v>48</v>
      </c>
      <c r="W60" s="51">
        <f>SUM(W51:W59)</f>
        <v>0</v>
      </c>
      <c r="X60" s="35"/>
      <c r="Y60" s="31" t="s">
        <v>48</v>
      </c>
      <c r="Z60" s="36">
        <f>SUM(Z51:Z59)</f>
        <v>0</v>
      </c>
    </row>
    <row r="61" spans="2:26">
      <c r="N61" s="49">
        <f>+H60+K60+N60</f>
        <v>132247427</v>
      </c>
      <c r="Z61" s="49">
        <f>+T60+W60+Z60</f>
        <v>132247427</v>
      </c>
    </row>
    <row r="64" spans="2:26">
      <c r="B64" s="31" t="s">
        <v>205</v>
      </c>
      <c r="C64" s="31" t="s">
        <v>96</v>
      </c>
      <c r="D64" s="330" t="s">
        <v>227</v>
      </c>
      <c r="E64" s="332"/>
      <c r="F64" s="330" t="s">
        <v>230</v>
      </c>
      <c r="G64" s="332"/>
    </row>
    <row r="65" spans="2:7">
      <c r="B65" s="32" t="s">
        <v>4</v>
      </c>
      <c r="C65" s="157">
        <f>E16</f>
        <v>85121795</v>
      </c>
      <c r="D65" s="333">
        <f>+N17</f>
        <v>148071400</v>
      </c>
      <c r="E65" s="334"/>
      <c r="F65" s="335">
        <f>+Z17</f>
        <v>148071400</v>
      </c>
      <c r="G65" s="336"/>
    </row>
    <row r="66" spans="2:7">
      <c r="B66" s="32" t="s">
        <v>5</v>
      </c>
      <c r="C66" s="32"/>
      <c r="D66" s="337">
        <f>+N32</f>
        <v>0</v>
      </c>
      <c r="E66" s="338"/>
      <c r="F66" s="335">
        <f>+Z32</f>
        <v>0</v>
      </c>
      <c r="G66" s="336"/>
    </row>
    <row r="67" spans="2:7">
      <c r="B67" s="32" t="s">
        <v>6</v>
      </c>
      <c r="C67" s="32"/>
      <c r="D67" s="337">
        <f>+N46</f>
        <v>89576433</v>
      </c>
      <c r="E67" s="338"/>
      <c r="F67" s="335">
        <f>+Z46</f>
        <v>89576433</v>
      </c>
      <c r="G67" s="336"/>
    </row>
    <row r="68" spans="2:7">
      <c r="B68" s="32" t="s">
        <v>7</v>
      </c>
      <c r="C68" s="32"/>
      <c r="D68" s="337">
        <f>+N61</f>
        <v>132247427</v>
      </c>
      <c r="E68" s="338"/>
      <c r="F68" s="335">
        <f>+Z61</f>
        <v>132247427</v>
      </c>
      <c r="G68" s="336"/>
    </row>
    <row r="69" spans="2:7">
      <c r="C69" s="29" t="s">
        <v>43</v>
      </c>
      <c r="D69" s="339">
        <f>D65-C65</f>
        <v>62949605</v>
      </c>
      <c r="E69" s="339"/>
    </row>
    <row r="72" spans="2:7">
      <c r="B72" s="32"/>
      <c r="C72" s="158" t="s">
        <v>3</v>
      </c>
      <c r="D72" s="158" t="s">
        <v>242</v>
      </c>
      <c r="E72" s="158" t="s">
        <v>243</v>
      </c>
    </row>
    <row r="73" spans="2:7">
      <c r="B73" s="32"/>
      <c r="C73" s="61">
        <f>+E18</f>
        <v>3700.947608695652</v>
      </c>
      <c r="D73" s="61">
        <f>+H18</f>
        <v>3311.0521739130436</v>
      </c>
      <c r="E73" s="61">
        <f>+K19</f>
        <v>3126.8347826086956</v>
      </c>
    </row>
    <row r="74" spans="2:7">
      <c r="B74" s="159" t="s">
        <v>43</v>
      </c>
      <c r="C74" s="32"/>
      <c r="D74" s="61">
        <f>+D73-C73</f>
        <v>-389.89543478260839</v>
      </c>
      <c r="E74" s="61">
        <f>+E73-C73</f>
        <v>-574.11282608695637</v>
      </c>
    </row>
    <row r="75" spans="2:7">
      <c r="B75" s="32"/>
      <c r="C75" s="32"/>
      <c r="D75" s="32"/>
      <c r="E75" s="32"/>
    </row>
  </sheetData>
  <mergeCells count="47">
    <mergeCell ref="B4:B5"/>
    <mergeCell ref="B20:B21"/>
    <mergeCell ref="B34:B35"/>
    <mergeCell ref="B49:B50"/>
    <mergeCell ref="Q4:Q5"/>
    <mergeCell ref="Q20:Q21"/>
    <mergeCell ref="Q34:Q35"/>
    <mergeCell ref="Q49:Q50"/>
    <mergeCell ref="D67:E67"/>
    <mergeCell ref="F67:G67"/>
    <mergeCell ref="D68:E68"/>
    <mergeCell ref="F68:G68"/>
    <mergeCell ref="D69:E69"/>
    <mergeCell ref="D64:E64"/>
    <mergeCell ref="F64:G64"/>
    <mergeCell ref="D65:E65"/>
    <mergeCell ref="F65:G65"/>
    <mergeCell ref="D66:E66"/>
    <mergeCell ref="F66:G66"/>
    <mergeCell ref="U34:W34"/>
    <mergeCell ref="X34:Z34"/>
    <mergeCell ref="C49:E49"/>
    <mergeCell ref="F49:H49"/>
    <mergeCell ref="I49:K49"/>
    <mergeCell ref="L49:N49"/>
    <mergeCell ref="R49:T49"/>
    <mergeCell ref="U49:W49"/>
    <mergeCell ref="X49:Z49"/>
    <mergeCell ref="C34:E34"/>
    <mergeCell ref="F34:H34"/>
    <mergeCell ref="I34:K34"/>
    <mergeCell ref="L34:N34"/>
    <mergeCell ref="R34:T34"/>
    <mergeCell ref="U4:W4"/>
    <mergeCell ref="X4:Z4"/>
    <mergeCell ref="C20:E20"/>
    <mergeCell ref="F20:H20"/>
    <mergeCell ref="I20:K20"/>
    <mergeCell ref="L20:N20"/>
    <mergeCell ref="R20:T20"/>
    <mergeCell ref="U20:W20"/>
    <mergeCell ref="X20:Z20"/>
    <mergeCell ref="C4:E4"/>
    <mergeCell ref="F4:H4"/>
    <mergeCell ref="I4:K4"/>
    <mergeCell ref="L4:N4"/>
    <mergeCell ref="R4:T4"/>
  </mergeCells>
  <pageMargins left="0.7" right="0.7" top="0.75" bottom="0.75" header="0.3" footer="0.3"/>
  <pageSetup paperSize="9" scale="94" orientation="landscape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86"/>
  <sheetViews>
    <sheetView showGridLines="0" zoomScale="78" zoomScaleNormal="78" workbookViewId="0">
      <selection activeCell="K16" sqref="K16"/>
    </sheetView>
  </sheetViews>
  <sheetFormatPr defaultColWidth="9" defaultRowHeight="15"/>
  <cols>
    <col min="2" max="2" width="22.85546875" customWidth="1"/>
    <col min="3" max="3" width="14.5703125" customWidth="1"/>
    <col min="4" max="4" width="8.85546875" customWidth="1"/>
    <col min="5" max="5" width="15.7109375" customWidth="1"/>
    <col min="6" max="6" width="14.5703125" customWidth="1"/>
    <col min="7" max="7" width="8" customWidth="1"/>
    <col min="8" max="8" width="18.7109375" customWidth="1"/>
    <col min="9" max="9" width="14.5703125" customWidth="1"/>
    <col min="10" max="10" width="8.28515625" customWidth="1"/>
    <col min="11" max="11" width="17.28515625" customWidth="1"/>
    <col min="14" max="14" width="22.85546875" customWidth="1"/>
    <col min="15" max="15" width="14.5703125" customWidth="1"/>
    <col min="16" max="16" width="8.85546875" customWidth="1"/>
    <col min="17" max="17" width="15.7109375" customWidth="1"/>
    <col min="18" max="18" width="14.5703125" customWidth="1"/>
    <col min="19" max="19" width="8" customWidth="1"/>
    <col min="20" max="20" width="16.5703125" customWidth="1"/>
    <col min="21" max="21" width="14.5703125" customWidth="1"/>
    <col min="22" max="22" width="8.28515625" customWidth="1"/>
    <col min="23" max="23" width="18.5703125" customWidth="1"/>
  </cols>
  <sheetData>
    <row r="2" spans="2:23" ht="15.75">
      <c r="B2" s="29" t="s">
        <v>12</v>
      </c>
    </row>
    <row r="3" spans="2:23" ht="18.75">
      <c r="B3" s="139" t="s">
        <v>227</v>
      </c>
      <c r="C3" s="140" t="s">
        <v>244</v>
      </c>
      <c r="D3" s="140"/>
      <c r="E3" s="140"/>
      <c r="F3" s="140" t="s">
        <v>245</v>
      </c>
      <c r="G3" s="140"/>
      <c r="H3" s="140"/>
      <c r="I3" s="140" t="s">
        <v>245</v>
      </c>
      <c r="J3" s="140"/>
      <c r="K3" s="140"/>
      <c r="L3" s="140"/>
      <c r="M3" s="140"/>
      <c r="N3" s="139" t="s">
        <v>230</v>
      </c>
      <c r="O3" s="140"/>
      <c r="P3" s="140"/>
      <c r="Q3" s="140"/>
      <c r="R3" s="140"/>
      <c r="S3" s="140"/>
      <c r="T3" s="140"/>
      <c r="U3" s="140"/>
      <c r="V3" s="140"/>
      <c r="W3" s="140"/>
    </row>
    <row r="4" spans="2:23" ht="18.75">
      <c r="B4" s="345" t="s">
        <v>3</v>
      </c>
      <c r="C4" s="342" t="s">
        <v>10</v>
      </c>
      <c r="D4" s="343"/>
      <c r="E4" s="344"/>
      <c r="F4" s="342" t="s">
        <v>15</v>
      </c>
      <c r="G4" s="343"/>
      <c r="H4" s="344"/>
      <c r="I4" s="342" t="s">
        <v>17</v>
      </c>
      <c r="J4" s="343"/>
      <c r="K4" s="344"/>
      <c r="L4" s="140"/>
      <c r="M4" s="140"/>
      <c r="N4" s="345" t="s">
        <v>4</v>
      </c>
      <c r="O4" s="342" t="s">
        <v>10</v>
      </c>
      <c r="P4" s="343"/>
      <c r="Q4" s="344"/>
      <c r="R4" s="342" t="s">
        <v>15</v>
      </c>
      <c r="S4" s="343"/>
      <c r="T4" s="344"/>
      <c r="U4" s="342" t="s">
        <v>17</v>
      </c>
      <c r="V4" s="343"/>
      <c r="W4" s="344"/>
    </row>
    <row r="5" spans="2:23" ht="18.75">
      <c r="B5" s="346"/>
      <c r="C5" s="141" t="s">
        <v>180</v>
      </c>
      <c r="D5" s="142" t="s">
        <v>41</v>
      </c>
      <c r="E5" s="142" t="s">
        <v>44</v>
      </c>
      <c r="F5" s="141" t="s">
        <v>180</v>
      </c>
      <c r="G5" s="142" t="s">
        <v>41</v>
      </c>
      <c r="H5" s="142" t="s">
        <v>44</v>
      </c>
      <c r="I5" s="141" t="s">
        <v>180</v>
      </c>
      <c r="J5" s="142" t="s">
        <v>41</v>
      </c>
      <c r="K5" s="142" t="s">
        <v>44</v>
      </c>
      <c r="L5" s="140"/>
      <c r="M5" s="140"/>
      <c r="N5" s="346"/>
      <c r="O5" s="141" t="s">
        <v>180</v>
      </c>
      <c r="P5" s="142" t="s">
        <v>41</v>
      </c>
      <c r="Q5" s="142" t="s">
        <v>44</v>
      </c>
      <c r="R5" s="141" t="s">
        <v>180</v>
      </c>
      <c r="S5" s="142" t="s">
        <v>41</v>
      </c>
      <c r="T5" s="142" t="s">
        <v>44</v>
      </c>
      <c r="U5" s="141" t="s">
        <v>180</v>
      </c>
      <c r="V5" s="142" t="s">
        <v>41</v>
      </c>
      <c r="W5" s="142" t="s">
        <v>44</v>
      </c>
    </row>
    <row r="6" spans="2:23" ht="18.75">
      <c r="B6" s="143" t="s">
        <v>233</v>
      </c>
      <c r="C6" s="144">
        <v>36540000</v>
      </c>
      <c r="D6" s="143">
        <v>1</v>
      </c>
      <c r="E6" s="144">
        <f t="shared" ref="E6:E15" si="0">+C6*D6</f>
        <v>36540000</v>
      </c>
      <c r="F6" s="144">
        <v>36800000</v>
      </c>
      <c r="G6" s="143">
        <v>1</v>
      </c>
      <c r="H6" s="144">
        <f t="shared" ref="H6:H15" si="1">+F6*G6</f>
        <v>36800000</v>
      </c>
      <c r="I6" s="144">
        <v>36800000</v>
      </c>
      <c r="J6" s="143">
        <v>1</v>
      </c>
      <c r="K6" s="144">
        <f t="shared" ref="K6:K15" si="2">+I6*J6</f>
        <v>36800000</v>
      </c>
      <c r="L6" s="140"/>
      <c r="M6" s="140"/>
      <c r="N6" s="143" t="s">
        <v>233</v>
      </c>
      <c r="O6" s="144"/>
      <c r="P6" s="143"/>
      <c r="Q6" s="144">
        <f t="shared" ref="Q6:Q15" si="3">+O6*P6</f>
        <v>0</v>
      </c>
      <c r="R6" s="144"/>
      <c r="S6" s="143"/>
      <c r="T6" s="144">
        <f t="shared" ref="T6:T15" si="4">+R6*S6</f>
        <v>0</v>
      </c>
      <c r="U6" s="144"/>
      <c r="V6" s="143"/>
      <c r="W6" s="144">
        <f t="shared" ref="W6:W15" si="5">+U6*V6</f>
        <v>0</v>
      </c>
    </row>
    <row r="7" spans="2:23" ht="18.75">
      <c r="B7" s="143" t="s">
        <v>234</v>
      </c>
      <c r="C7" s="144">
        <v>4992557</v>
      </c>
      <c r="D7" s="143">
        <v>1</v>
      </c>
      <c r="E7" s="144">
        <f t="shared" si="0"/>
        <v>4992557</v>
      </c>
      <c r="F7" s="144">
        <v>6281957</v>
      </c>
      <c r="G7" s="143">
        <v>1</v>
      </c>
      <c r="H7" s="144">
        <f t="shared" si="1"/>
        <v>6281957</v>
      </c>
      <c r="I7" s="144">
        <v>6281957</v>
      </c>
      <c r="J7" s="143">
        <v>1</v>
      </c>
      <c r="K7" s="144">
        <f t="shared" si="2"/>
        <v>6281957</v>
      </c>
      <c r="L7" s="140"/>
      <c r="M7" s="140"/>
      <c r="N7" s="143" t="s">
        <v>234</v>
      </c>
      <c r="O7" s="144"/>
      <c r="P7" s="143"/>
      <c r="Q7" s="144">
        <f t="shared" si="3"/>
        <v>0</v>
      </c>
      <c r="R7" s="144"/>
      <c r="S7" s="143"/>
      <c r="T7" s="144">
        <f t="shared" si="4"/>
        <v>0</v>
      </c>
      <c r="U7" s="144"/>
      <c r="V7" s="143"/>
      <c r="W7" s="144">
        <f t="shared" si="5"/>
        <v>0</v>
      </c>
    </row>
    <row r="8" spans="2:23" ht="18.75">
      <c r="B8" s="143" t="s">
        <v>235</v>
      </c>
      <c r="C8" s="144">
        <v>7300</v>
      </c>
      <c r="D8" s="143">
        <v>0</v>
      </c>
      <c r="E8" s="144">
        <f t="shared" si="0"/>
        <v>0</v>
      </c>
      <c r="F8" s="144">
        <v>7300</v>
      </c>
      <c r="G8" s="143">
        <v>0</v>
      </c>
      <c r="H8" s="144">
        <f t="shared" si="1"/>
        <v>0</v>
      </c>
      <c r="I8" s="144">
        <v>7300</v>
      </c>
      <c r="J8" s="143">
        <v>0</v>
      </c>
      <c r="K8" s="144">
        <f t="shared" si="2"/>
        <v>0</v>
      </c>
      <c r="L8" s="140"/>
      <c r="M8" s="140"/>
      <c r="N8" s="143" t="s">
        <v>235</v>
      </c>
      <c r="O8" s="144"/>
      <c r="P8" s="143"/>
      <c r="Q8" s="144">
        <f t="shared" si="3"/>
        <v>0</v>
      </c>
      <c r="R8" s="144"/>
      <c r="S8" s="143"/>
      <c r="T8" s="144">
        <f t="shared" si="4"/>
        <v>0</v>
      </c>
      <c r="U8" s="144"/>
      <c r="V8" s="143"/>
      <c r="W8" s="144">
        <f t="shared" si="5"/>
        <v>0</v>
      </c>
    </row>
    <row r="9" spans="2:23" ht="18.75">
      <c r="B9" s="143" t="s">
        <v>236</v>
      </c>
      <c r="C9" s="144">
        <v>82600</v>
      </c>
      <c r="D9" s="143">
        <v>11</v>
      </c>
      <c r="E9" s="144">
        <f t="shared" si="0"/>
        <v>908600</v>
      </c>
      <c r="F9" s="144">
        <v>82600</v>
      </c>
      <c r="G9" s="143">
        <v>33</v>
      </c>
      <c r="H9" s="144">
        <f t="shared" si="1"/>
        <v>2725800</v>
      </c>
      <c r="I9" s="144">
        <v>82600</v>
      </c>
      <c r="J9" s="143">
        <v>12</v>
      </c>
      <c r="K9" s="144">
        <f t="shared" si="2"/>
        <v>991200</v>
      </c>
      <c r="L9" s="140"/>
      <c r="M9" s="140"/>
      <c r="N9" s="143" t="s">
        <v>236</v>
      </c>
      <c r="O9" s="144"/>
      <c r="P9" s="143"/>
      <c r="Q9" s="144">
        <f t="shared" si="3"/>
        <v>0</v>
      </c>
      <c r="R9" s="144"/>
      <c r="S9" s="143"/>
      <c r="T9" s="144">
        <f t="shared" si="4"/>
        <v>0</v>
      </c>
      <c r="U9" s="144"/>
      <c r="V9" s="143"/>
      <c r="W9" s="144">
        <f t="shared" si="5"/>
        <v>0</v>
      </c>
    </row>
    <row r="10" spans="2:23" ht="18.75">
      <c r="B10" s="143" t="s">
        <v>237</v>
      </c>
      <c r="C10" s="144">
        <v>1310000</v>
      </c>
      <c r="D10" s="143">
        <v>0</v>
      </c>
      <c r="E10" s="144">
        <f t="shared" si="0"/>
        <v>0</v>
      </c>
      <c r="F10" s="144">
        <v>1310000</v>
      </c>
      <c r="G10" s="143">
        <v>0</v>
      </c>
      <c r="H10" s="144">
        <f t="shared" si="1"/>
        <v>0</v>
      </c>
      <c r="I10" s="144">
        <v>1310000</v>
      </c>
      <c r="J10" s="143">
        <v>0</v>
      </c>
      <c r="K10" s="144">
        <f t="shared" si="2"/>
        <v>0</v>
      </c>
      <c r="L10" s="140"/>
      <c r="M10" s="140"/>
      <c r="N10" s="143" t="s">
        <v>237</v>
      </c>
      <c r="O10" s="144"/>
      <c r="P10" s="143"/>
      <c r="Q10" s="144">
        <f t="shared" si="3"/>
        <v>0</v>
      </c>
      <c r="R10" s="144"/>
      <c r="S10" s="143"/>
      <c r="T10" s="144">
        <f t="shared" si="4"/>
        <v>0</v>
      </c>
      <c r="U10" s="144"/>
      <c r="V10" s="143"/>
      <c r="W10" s="144">
        <f t="shared" si="5"/>
        <v>0</v>
      </c>
    </row>
    <row r="11" spans="2:23" ht="18.75">
      <c r="B11" s="143" t="s">
        <v>238</v>
      </c>
      <c r="C11" s="144">
        <v>655000</v>
      </c>
      <c r="D11" s="143">
        <v>0</v>
      </c>
      <c r="E11" s="144">
        <f t="shared" si="0"/>
        <v>0</v>
      </c>
      <c r="F11" s="144">
        <v>655000</v>
      </c>
      <c r="G11" s="143">
        <v>0</v>
      </c>
      <c r="H11" s="144">
        <f t="shared" si="1"/>
        <v>0</v>
      </c>
      <c r="I11" s="144">
        <v>655000</v>
      </c>
      <c r="J11" s="143">
        <v>0</v>
      </c>
      <c r="K11" s="144">
        <f t="shared" si="2"/>
        <v>0</v>
      </c>
      <c r="L11" s="140"/>
      <c r="M11" s="140"/>
      <c r="N11" s="143" t="s">
        <v>238</v>
      </c>
      <c r="O11" s="144"/>
      <c r="P11" s="143"/>
      <c r="Q11" s="144">
        <f t="shared" si="3"/>
        <v>0</v>
      </c>
      <c r="R11" s="144"/>
      <c r="S11" s="143"/>
      <c r="T11" s="144">
        <f t="shared" si="4"/>
        <v>0</v>
      </c>
      <c r="U11" s="144"/>
      <c r="V11" s="143"/>
      <c r="W11" s="144">
        <f t="shared" si="5"/>
        <v>0</v>
      </c>
    </row>
    <row r="12" spans="2:23" ht="18.75">
      <c r="B12" s="143" t="s">
        <v>239</v>
      </c>
      <c r="C12" s="144">
        <v>420000</v>
      </c>
      <c r="D12" s="143">
        <v>0</v>
      </c>
      <c r="E12" s="144">
        <f t="shared" si="0"/>
        <v>0</v>
      </c>
      <c r="F12" s="144">
        <v>420000</v>
      </c>
      <c r="G12" s="143">
        <v>0</v>
      </c>
      <c r="H12" s="144">
        <f t="shared" si="1"/>
        <v>0</v>
      </c>
      <c r="I12" s="144">
        <v>420000</v>
      </c>
      <c r="J12" s="143">
        <v>0</v>
      </c>
      <c r="K12" s="144">
        <f t="shared" si="2"/>
        <v>0</v>
      </c>
      <c r="L12" s="140"/>
      <c r="M12" s="140"/>
      <c r="N12" s="143" t="s">
        <v>239</v>
      </c>
      <c r="O12" s="144"/>
      <c r="P12" s="143"/>
      <c r="Q12" s="144">
        <f t="shared" si="3"/>
        <v>0</v>
      </c>
      <c r="R12" s="144"/>
      <c r="S12" s="143"/>
      <c r="T12" s="144">
        <f t="shared" si="4"/>
        <v>0</v>
      </c>
      <c r="U12" s="144"/>
      <c r="V12" s="143"/>
      <c r="W12" s="144">
        <f t="shared" si="5"/>
        <v>0</v>
      </c>
    </row>
    <row r="13" spans="2:23" ht="18.75">
      <c r="B13" s="143" t="s">
        <v>240</v>
      </c>
      <c r="C13" s="144">
        <v>450000</v>
      </c>
      <c r="D13" s="143">
        <v>0</v>
      </c>
      <c r="E13" s="144">
        <f t="shared" si="0"/>
        <v>0</v>
      </c>
      <c r="F13" s="144">
        <v>450000</v>
      </c>
      <c r="G13" s="143">
        <v>0</v>
      </c>
      <c r="H13" s="144">
        <f t="shared" si="1"/>
        <v>0</v>
      </c>
      <c r="I13" s="144">
        <v>450000</v>
      </c>
      <c r="J13" s="143">
        <v>0</v>
      </c>
      <c r="K13" s="144">
        <f t="shared" si="2"/>
        <v>0</v>
      </c>
      <c r="L13" s="140"/>
      <c r="M13" s="140"/>
      <c r="N13" s="143" t="s">
        <v>240</v>
      </c>
      <c r="O13" s="144"/>
      <c r="P13" s="143"/>
      <c r="Q13" s="144">
        <f t="shared" si="3"/>
        <v>0</v>
      </c>
      <c r="R13" s="144"/>
      <c r="S13" s="143"/>
      <c r="T13" s="144">
        <f t="shared" si="4"/>
        <v>0</v>
      </c>
      <c r="U13" s="144"/>
      <c r="V13" s="143"/>
      <c r="W13" s="144">
        <f t="shared" si="5"/>
        <v>0</v>
      </c>
    </row>
    <row r="14" spans="2:23" ht="18.75">
      <c r="B14" s="143" t="s">
        <v>183</v>
      </c>
      <c r="C14" s="144">
        <v>6000</v>
      </c>
      <c r="D14" s="143">
        <v>5</v>
      </c>
      <c r="E14" s="144">
        <f t="shared" si="0"/>
        <v>30000</v>
      </c>
      <c r="F14" s="144">
        <v>6000</v>
      </c>
      <c r="G14" s="143">
        <v>5</v>
      </c>
      <c r="H14" s="144">
        <f t="shared" si="1"/>
        <v>30000</v>
      </c>
      <c r="I14" s="144">
        <v>6000</v>
      </c>
      <c r="J14" s="143">
        <v>10</v>
      </c>
      <c r="K14" s="144">
        <f t="shared" si="2"/>
        <v>60000</v>
      </c>
      <c r="L14" s="140"/>
      <c r="M14" s="140"/>
      <c r="N14" s="143"/>
      <c r="O14" s="144"/>
      <c r="P14" s="143"/>
      <c r="Q14" s="144"/>
      <c r="R14" s="144"/>
      <c r="S14" s="143"/>
      <c r="T14" s="144"/>
      <c r="U14" s="144"/>
      <c r="V14" s="143"/>
      <c r="W14" s="144"/>
    </row>
    <row r="15" spans="2:23" ht="18.75">
      <c r="B15" s="143" t="s">
        <v>241</v>
      </c>
      <c r="C15" s="144"/>
      <c r="D15" s="143">
        <v>0</v>
      </c>
      <c r="E15" s="144">
        <f t="shared" si="0"/>
        <v>0</v>
      </c>
      <c r="F15" s="144"/>
      <c r="G15" s="143">
        <v>0</v>
      </c>
      <c r="H15" s="144">
        <f t="shared" si="1"/>
        <v>0</v>
      </c>
      <c r="I15" s="144"/>
      <c r="J15" s="143">
        <v>0</v>
      </c>
      <c r="K15" s="144">
        <f t="shared" si="2"/>
        <v>0</v>
      </c>
      <c r="L15" s="140"/>
      <c r="M15" s="140"/>
      <c r="N15" s="143" t="s">
        <v>241</v>
      </c>
      <c r="O15" s="144"/>
      <c r="P15" s="143"/>
      <c r="Q15" s="144">
        <f t="shared" si="3"/>
        <v>0</v>
      </c>
      <c r="R15" s="144"/>
      <c r="S15" s="143"/>
      <c r="T15" s="144">
        <f t="shared" si="4"/>
        <v>0</v>
      </c>
      <c r="U15" s="144"/>
      <c r="V15" s="143"/>
      <c r="W15" s="144">
        <f t="shared" si="5"/>
        <v>0</v>
      </c>
    </row>
    <row r="16" spans="2:23" s="1" customFormat="1" ht="18.75">
      <c r="B16" s="145"/>
      <c r="C16" s="145"/>
      <c r="D16" s="142" t="s">
        <v>48</v>
      </c>
      <c r="E16" s="146">
        <f>SUM(E6:E15)</f>
        <v>42471157</v>
      </c>
      <c r="F16" s="145"/>
      <c r="G16" s="142" t="s">
        <v>48</v>
      </c>
      <c r="H16" s="146">
        <f>SUM(H6:H15)</f>
        <v>45837757</v>
      </c>
      <c r="I16" s="145"/>
      <c r="J16" s="142" t="s">
        <v>48</v>
      </c>
      <c r="K16" s="146">
        <f>SUM(K6:K15)</f>
        <v>44133157</v>
      </c>
      <c r="L16" s="139"/>
      <c r="M16" s="139"/>
      <c r="N16" s="145"/>
      <c r="O16" s="145"/>
      <c r="P16" s="142" t="s">
        <v>48</v>
      </c>
      <c r="Q16" s="146">
        <f>SUM(Q6:Q15)</f>
        <v>0</v>
      </c>
      <c r="R16" s="145"/>
      <c r="S16" s="142" t="s">
        <v>48</v>
      </c>
      <c r="T16" s="153">
        <f>SUM(T6:T15)</f>
        <v>0</v>
      </c>
      <c r="U16" s="145"/>
      <c r="V16" s="142" t="s">
        <v>48</v>
      </c>
      <c r="W16" s="146">
        <f>SUM(W6:W15)</f>
        <v>0</v>
      </c>
    </row>
    <row r="17" spans="2:23" ht="18.75">
      <c r="B17" s="140"/>
      <c r="C17" s="140"/>
      <c r="D17" s="140"/>
      <c r="E17" s="140"/>
      <c r="F17" s="140"/>
      <c r="G17" s="140"/>
      <c r="H17" s="140"/>
      <c r="I17" s="140"/>
      <c r="J17" s="140"/>
      <c r="K17" s="152">
        <f>(E16+H16+K16)/3</f>
        <v>44147357</v>
      </c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52">
        <f>+Q16+T16+W16</f>
        <v>0</v>
      </c>
    </row>
    <row r="18" spans="2:23" ht="18.75">
      <c r="B18" s="140"/>
      <c r="C18" s="140"/>
      <c r="D18" s="140"/>
      <c r="E18" s="140"/>
      <c r="F18" s="140"/>
      <c r="G18" s="140"/>
      <c r="H18" s="140"/>
      <c r="I18" s="140"/>
      <c r="J18" s="140"/>
      <c r="K18" s="152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52"/>
    </row>
    <row r="19" spans="2:23" ht="18.75">
      <c r="B19" s="140"/>
      <c r="C19" s="140" t="s">
        <v>246</v>
      </c>
      <c r="D19" s="140"/>
      <c r="E19" s="140"/>
      <c r="F19" s="140" t="s">
        <v>247</v>
      </c>
      <c r="G19" s="140"/>
      <c r="H19" s="140"/>
      <c r="I19" s="140" t="s">
        <v>245</v>
      </c>
      <c r="J19" s="140"/>
      <c r="K19" s="152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52"/>
    </row>
    <row r="20" spans="2:23" ht="18.75">
      <c r="B20" s="345" t="s">
        <v>4</v>
      </c>
      <c r="C20" s="342" t="s">
        <v>10</v>
      </c>
      <c r="D20" s="343"/>
      <c r="E20" s="344"/>
      <c r="F20" s="342" t="s">
        <v>15</v>
      </c>
      <c r="G20" s="343"/>
      <c r="H20" s="344"/>
      <c r="I20" s="342" t="s">
        <v>17</v>
      </c>
      <c r="J20" s="343"/>
      <c r="K20" s="344"/>
      <c r="L20" s="140"/>
      <c r="M20" s="140"/>
      <c r="N20" s="345" t="s">
        <v>4</v>
      </c>
      <c r="O20" s="342" t="s">
        <v>10</v>
      </c>
      <c r="P20" s="343"/>
      <c r="Q20" s="344"/>
      <c r="R20" s="342" t="s">
        <v>15</v>
      </c>
      <c r="S20" s="343"/>
      <c r="T20" s="344"/>
      <c r="U20" s="342" t="s">
        <v>17</v>
      </c>
      <c r="V20" s="343"/>
      <c r="W20" s="344"/>
    </row>
    <row r="21" spans="2:23" ht="18.75">
      <c r="B21" s="346"/>
      <c r="C21" s="141" t="s">
        <v>180</v>
      </c>
      <c r="D21" s="142" t="s">
        <v>41</v>
      </c>
      <c r="E21" s="142" t="s">
        <v>44</v>
      </c>
      <c r="F21" s="141" t="s">
        <v>180</v>
      </c>
      <c r="G21" s="142" t="s">
        <v>41</v>
      </c>
      <c r="H21" s="142" t="s">
        <v>44</v>
      </c>
      <c r="I21" s="141" t="s">
        <v>180</v>
      </c>
      <c r="J21" s="142" t="s">
        <v>41</v>
      </c>
      <c r="K21" s="142" t="s">
        <v>44</v>
      </c>
      <c r="L21" s="140"/>
      <c r="M21" s="140"/>
      <c r="N21" s="346"/>
      <c r="O21" s="141" t="s">
        <v>180</v>
      </c>
      <c r="P21" s="142" t="s">
        <v>41</v>
      </c>
      <c r="Q21" s="142" t="s">
        <v>44</v>
      </c>
      <c r="R21" s="141" t="s">
        <v>180</v>
      </c>
      <c r="S21" s="142" t="s">
        <v>41</v>
      </c>
      <c r="T21" s="142" t="s">
        <v>44</v>
      </c>
      <c r="U21" s="141" t="s">
        <v>180</v>
      </c>
      <c r="V21" s="142" t="s">
        <v>41</v>
      </c>
      <c r="W21" s="142" t="s">
        <v>44</v>
      </c>
    </row>
    <row r="22" spans="2:23" ht="18.75">
      <c r="B22" s="143" t="s">
        <v>233</v>
      </c>
      <c r="C22" s="144">
        <v>36679000</v>
      </c>
      <c r="D22" s="143">
        <v>1</v>
      </c>
      <c r="E22" s="144">
        <f t="shared" ref="E22:E30" si="6">+C22*D22</f>
        <v>36679000</v>
      </c>
      <c r="F22" s="144">
        <v>36309000</v>
      </c>
      <c r="G22" s="143">
        <v>1</v>
      </c>
      <c r="H22" s="144">
        <f t="shared" ref="H22:H30" si="7">+F22*G22</f>
        <v>36309000</v>
      </c>
      <c r="I22" s="144">
        <v>36559000</v>
      </c>
      <c r="J22" s="143">
        <v>1</v>
      </c>
      <c r="K22" s="144">
        <f t="shared" ref="K22:K30" si="8">+I22*J22</f>
        <v>36559000</v>
      </c>
      <c r="L22" s="140"/>
      <c r="M22" s="140"/>
      <c r="N22" s="143" t="s">
        <v>233</v>
      </c>
      <c r="O22" s="144">
        <v>36679000</v>
      </c>
      <c r="P22" s="143">
        <v>1</v>
      </c>
      <c r="Q22" s="144">
        <f t="shared" ref="Q22:Q30" si="9">+O22*P22</f>
        <v>36679000</v>
      </c>
      <c r="R22" s="144">
        <v>36309000</v>
      </c>
      <c r="S22" s="143">
        <v>1</v>
      </c>
      <c r="T22" s="144">
        <f t="shared" ref="T22:T30" si="10">+R22*S22</f>
        <v>36309000</v>
      </c>
      <c r="U22" s="144">
        <v>36559000</v>
      </c>
      <c r="V22" s="143">
        <v>1</v>
      </c>
      <c r="W22" s="144">
        <f t="shared" ref="W22:W30" si="11">+U22*V22</f>
        <v>36559000</v>
      </c>
    </row>
    <row r="23" spans="2:23" ht="18.75">
      <c r="B23" s="143" t="s">
        <v>234</v>
      </c>
      <c r="C23" s="144">
        <v>3095000</v>
      </c>
      <c r="D23" s="143">
        <v>1</v>
      </c>
      <c r="E23" s="144">
        <f t="shared" si="6"/>
        <v>3095000</v>
      </c>
      <c r="F23" s="144">
        <v>6189000</v>
      </c>
      <c r="G23" s="143">
        <v>1</v>
      </c>
      <c r="H23" s="144">
        <f t="shared" si="7"/>
        <v>6189000</v>
      </c>
      <c r="I23" s="144">
        <v>5415000</v>
      </c>
      <c r="J23" s="143">
        <v>1</v>
      </c>
      <c r="K23" s="144">
        <f t="shared" si="8"/>
        <v>5415000</v>
      </c>
      <c r="L23" s="140"/>
      <c r="M23" s="140"/>
      <c r="N23" s="143" t="s">
        <v>234</v>
      </c>
      <c r="O23" s="144">
        <v>3095000</v>
      </c>
      <c r="P23" s="143">
        <v>1</v>
      </c>
      <c r="Q23" s="144">
        <f t="shared" si="9"/>
        <v>3095000</v>
      </c>
      <c r="R23" s="144">
        <v>6189000</v>
      </c>
      <c r="S23" s="143">
        <v>1</v>
      </c>
      <c r="T23" s="144">
        <f t="shared" si="10"/>
        <v>6189000</v>
      </c>
      <c r="U23" s="144">
        <v>5415000</v>
      </c>
      <c r="V23" s="143">
        <v>1</v>
      </c>
      <c r="W23" s="144">
        <f t="shared" si="11"/>
        <v>5415000</v>
      </c>
    </row>
    <row r="24" spans="2:23" ht="18.75">
      <c r="B24" s="143" t="s">
        <v>235</v>
      </c>
      <c r="C24" s="144">
        <v>7300</v>
      </c>
      <c r="D24" s="143">
        <v>0</v>
      </c>
      <c r="E24" s="144">
        <f t="shared" si="6"/>
        <v>0</v>
      </c>
      <c r="F24" s="144">
        <v>7300</v>
      </c>
      <c r="G24" s="147">
        <v>0</v>
      </c>
      <c r="H24" s="144">
        <f t="shared" si="7"/>
        <v>0</v>
      </c>
      <c r="I24" s="144">
        <v>7300</v>
      </c>
      <c r="J24" s="143">
        <v>0</v>
      </c>
      <c r="K24" s="144">
        <f t="shared" si="8"/>
        <v>0</v>
      </c>
      <c r="L24" s="140"/>
      <c r="M24" s="140"/>
      <c r="N24" s="143" t="s">
        <v>235</v>
      </c>
      <c r="O24" s="144">
        <v>4700</v>
      </c>
      <c r="P24" s="143">
        <v>0</v>
      </c>
      <c r="Q24" s="144">
        <f t="shared" si="9"/>
        <v>0</v>
      </c>
      <c r="R24" s="144">
        <v>7300</v>
      </c>
      <c r="S24" s="147">
        <v>0</v>
      </c>
      <c r="T24" s="144">
        <f t="shared" si="10"/>
        <v>0</v>
      </c>
      <c r="U24" s="144">
        <v>7300</v>
      </c>
      <c r="V24" s="143">
        <v>0</v>
      </c>
      <c r="W24" s="144">
        <f t="shared" si="11"/>
        <v>0</v>
      </c>
    </row>
    <row r="25" spans="2:23" ht="18.75">
      <c r="B25" s="143" t="s">
        <v>236</v>
      </c>
      <c r="C25" s="144">
        <v>82600</v>
      </c>
      <c r="D25" s="143">
        <v>11</v>
      </c>
      <c r="E25" s="144">
        <f t="shared" si="6"/>
        <v>908600</v>
      </c>
      <c r="F25" s="144">
        <v>82600</v>
      </c>
      <c r="G25" s="143">
        <v>33</v>
      </c>
      <c r="H25" s="144">
        <f t="shared" si="7"/>
        <v>2725800</v>
      </c>
      <c r="I25" s="144">
        <v>82600</v>
      </c>
      <c r="J25" s="143">
        <v>12</v>
      </c>
      <c r="K25" s="144">
        <f t="shared" si="8"/>
        <v>991200</v>
      </c>
      <c r="L25" s="140"/>
      <c r="M25" s="140"/>
      <c r="N25" s="143" t="s">
        <v>236</v>
      </c>
      <c r="O25" s="144">
        <v>82600</v>
      </c>
      <c r="P25" s="143">
        <v>11</v>
      </c>
      <c r="Q25" s="144">
        <f t="shared" si="9"/>
        <v>908600</v>
      </c>
      <c r="R25" s="144">
        <v>82600</v>
      </c>
      <c r="S25" s="143">
        <v>33</v>
      </c>
      <c r="T25" s="144">
        <f t="shared" si="10"/>
        <v>2725800</v>
      </c>
      <c r="U25" s="144">
        <v>82600</v>
      </c>
      <c r="V25" s="143">
        <v>12</v>
      </c>
      <c r="W25" s="144">
        <f t="shared" si="11"/>
        <v>991200</v>
      </c>
    </row>
    <row r="26" spans="2:23" ht="18.75">
      <c r="B26" s="143" t="s">
        <v>237</v>
      </c>
      <c r="C26" s="144">
        <v>1310000</v>
      </c>
      <c r="D26" s="143">
        <v>0</v>
      </c>
      <c r="E26" s="144">
        <f t="shared" si="6"/>
        <v>0</v>
      </c>
      <c r="F26" s="144">
        <v>1310000</v>
      </c>
      <c r="G26" s="143">
        <v>0</v>
      </c>
      <c r="H26" s="144">
        <f t="shared" si="7"/>
        <v>0</v>
      </c>
      <c r="I26" s="144">
        <v>1310000</v>
      </c>
      <c r="J26" s="143">
        <v>0</v>
      </c>
      <c r="K26" s="144">
        <f t="shared" si="8"/>
        <v>0</v>
      </c>
      <c r="L26" s="140"/>
      <c r="M26" s="140"/>
      <c r="N26" s="143" t="s">
        <v>237</v>
      </c>
      <c r="O26" s="144">
        <v>1070000</v>
      </c>
      <c r="P26" s="143">
        <v>0</v>
      </c>
      <c r="Q26" s="144">
        <f t="shared" si="9"/>
        <v>0</v>
      </c>
      <c r="R26" s="144">
        <v>1310000</v>
      </c>
      <c r="S26" s="143">
        <v>0</v>
      </c>
      <c r="T26" s="144">
        <f t="shared" si="10"/>
        <v>0</v>
      </c>
      <c r="U26" s="144">
        <v>1310000</v>
      </c>
      <c r="V26" s="143">
        <v>0</v>
      </c>
      <c r="W26" s="144">
        <f t="shared" si="11"/>
        <v>0</v>
      </c>
    </row>
    <row r="27" spans="2:23" ht="18.75">
      <c r="B27" s="143" t="s">
        <v>238</v>
      </c>
      <c r="C27" s="144">
        <v>655000</v>
      </c>
      <c r="D27" s="143">
        <v>0</v>
      </c>
      <c r="E27" s="144">
        <f t="shared" si="6"/>
        <v>0</v>
      </c>
      <c r="F27" s="144">
        <v>655000</v>
      </c>
      <c r="G27" s="143">
        <v>0</v>
      </c>
      <c r="H27" s="144">
        <f t="shared" si="7"/>
        <v>0</v>
      </c>
      <c r="I27" s="144">
        <v>655000</v>
      </c>
      <c r="J27" s="143">
        <v>0</v>
      </c>
      <c r="K27" s="144">
        <f t="shared" si="8"/>
        <v>0</v>
      </c>
      <c r="L27" s="140"/>
      <c r="M27" s="140"/>
      <c r="N27" s="143" t="s">
        <v>238</v>
      </c>
      <c r="O27" s="144">
        <v>535000</v>
      </c>
      <c r="P27" s="143">
        <v>0</v>
      </c>
      <c r="Q27" s="144">
        <f t="shared" si="9"/>
        <v>0</v>
      </c>
      <c r="R27" s="144">
        <v>655000</v>
      </c>
      <c r="S27" s="143">
        <v>0</v>
      </c>
      <c r="T27" s="144">
        <f t="shared" si="10"/>
        <v>0</v>
      </c>
      <c r="U27" s="144">
        <v>655000</v>
      </c>
      <c r="V27" s="143">
        <v>0</v>
      </c>
      <c r="W27" s="144">
        <f t="shared" si="11"/>
        <v>0</v>
      </c>
    </row>
    <row r="28" spans="2:23" ht="18.75">
      <c r="B28" s="143" t="s">
        <v>239</v>
      </c>
      <c r="C28" s="144">
        <v>420000</v>
      </c>
      <c r="D28" s="143">
        <v>0</v>
      </c>
      <c r="E28" s="144">
        <f t="shared" si="6"/>
        <v>0</v>
      </c>
      <c r="F28" s="144">
        <v>420000</v>
      </c>
      <c r="G28" s="143">
        <v>0</v>
      </c>
      <c r="H28" s="144">
        <f t="shared" si="7"/>
        <v>0</v>
      </c>
      <c r="I28" s="144">
        <v>420000</v>
      </c>
      <c r="J28" s="143">
        <v>0</v>
      </c>
      <c r="K28" s="144">
        <f t="shared" si="8"/>
        <v>0</v>
      </c>
      <c r="L28" s="140"/>
      <c r="M28" s="140"/>
      <c r="N28" s="143" t="s">
        <v>239</v>
      </c>
      <c r="O28" s="144">
        <v>420000</v>
      </c>
      <c r="P28" s="143">
        <v>0</v>
      </c>
      <c r="Q28" s="144">
        <f t="shared" si="9"/>
        <v>0</v>
      </c>
      <c r="R28" s="144">
        <v>420000</v>
      </c>
      <c r="S28" s="143">
        <v>0</v>
      </c>
      <c r="T28" s="144">
        <f t="shared" si="10"/>
        <v>0</v>
      </c>
      <c r="U28" s="144">
        <v>420000</v>
      </c>
      <c r="V28" s="143">
        <v>0</v>
      </c>
      <c r="W28" s="144">
        <f t="shared" si="11"/>
        <v>0</v>
      </c>
    </row>
    <row r="29" spans="2:23" ht="18.75">
      <c r="B29" s="143" t="s">
        <v>240</v>
      </c>
      <c r="C29" s="144">
        <v>420000</v>
      </c>
      <c r="D29" s="143">
        <v>0</v>
      </c>
      <c r="E29" s="144">
        <f t="shared" si="6"/>
        <v>0</v>
      </c>
      <c r="F29" s="144">
        <v>420000</v>
      </c>
      <c r="G29" s="143">
        <v>0</v>
      </c>
      <c r="H29" s="144">
        <f t="shared" si="7"/>
        <v>0</v>
      </c>
      <c r="I29" s="144">
        <v>420000</v>
      </c>
      <c r="J29" s="143">
        <v>0</v>
      </c>
      <c r="K29" s="144">
        <f t="shared" si="8"/>
        <v>0</v>
      </c>
      <c r="L29" s="140"/>
      <c r="M29" s="140"/>
      <c r="N29" s="143" t="s">
        <v>240</v>
      </c>
      <c r="O29" s="144">
        <v>420000</v>
      </c>
      <c r="P29" s="143">
        <v>0</v>
      </c>
      <c r="Q29" s="144">
        <f t="shared" si="9"/>
        <v>0</v>
      </c>
      <c r="R29" s="144">
        <v>420000</v>
      </c>
      <c r="S29" s="143">
        <v>0</v>
      </c>
      <c r="T29" s="144">
        <f t="shared" si="10"/>
        <v>0</v>
      </c>
      <c r="U29" s="144">
        <v>420000</v>
      </c>
      <c r="V29" s="143">
        <v>0</v>
      </c>
      <c r="W29" s="144">
        <f t="shared" si="11"/>
        <v>0</v>
      </c>
    </row>
    <row r="30" spans="2:23" ht="18.75">
      <c r="B30" s="143" t="s">
        <v>241</v>
      </c>
      <c r="C30" s="144">
        <v>260000</v>
      </c>
      <c r="D30" s="143">
        <v>0</v>
      </c>
      <c r="E30" s="144">
        <f t="shared" si="6"/>
        <v>0</v>
      </c>
      <c r="F30" s="144">
        <v>260000</v>
      </c>
      <c r="G30" s="143">
        <v>0</v>
      </c>
      <c r="H30" s="144">
        <f t="shared" si="7"/>
        <v>0</v>
      </c>
      <c r="I30" s="144">
        <v>260000</v>
      </c>
      <c r="J30" s="143">
        <v>0</v>
      </c>
      <c r="K30" s="144">
        <f t="shared" si="8"/>
        <v>0</v>
      </c>
      <c r="L30" s="140"/>
      <c r="M30" s="140"/>
      <c r="N30" s="143" t="s">
        <v>241</v>
      </c>
      <c r="O30" s="144">
        <v>260000</v>
      </c>
      <c r="P30" s="143">
        <v>0</v>
      </c>
      <c r="Q30" s="144">
        <f t="shared" si="9"/>
        <v>0</v>
      </c>
      <c r="R30" s="144">
        <v>260000</v>
      </c>
      <c r="S30" s="143">
        <v>0</v>
      </c>
      <c r="T30" s="144">
        <f t="shared" si="10"/>
        <v>0</v>
      </c>
      <c r="U30" s="144">
        <v>260000</v>
      </c>
      <c r="V30" s="143">
        <v>0</v>
      </c>
      <c r="W30" s="144">
        <f t="shared" si="11"/>
        <v>0</v>
      </c>
    </row>
    <row r="31" spans="2:23" s="1" customFormat="1" ht="18.75">
      <c r="B31" s="145"/>
      <c r="C31" s="145"/>
      <c r="D31" s="142" t="s">
        <v>48</v>
      </c>
      <c r="E31" s="146">
        <f>SUM(E22:E30)</f>
        <v>40682600</v>
      </c>
      <c r="F31" s="145"/>
      <c r="G31" s="142" t="s">
        <v>48</v>
      </c>
      <c r="H31" s="146">
        <f>SUM(H22:H30)</f>
        <v>45223800</v>
      </c>
      <c r="I31" s="145"/>
      <c r="J31" s="142" t="s">
        <v>48</v>
      </c>
      <c r="K31" s="146">
        <f>SUM(K22:K30)</f>
        <v>42965200</v>
      </c>
      <c r="L31" s="139"/>
      <c r="M31" s="139"/>
      <c r="N31" s="145"/>
      <c r="O31" s="145"/>
      <c r="P31" s="142" t="s">
        <v>48</v>
      </c>
      <c r="Q31" s="146">
        <f>SUM(Q22:Q30)</f>
        <v>40682600</v>
      </c>
      <c r="R31" s="145"/>
      <c r="S31" s="142" t="s">
        <v>48</v>
      </c>
      <c r="T31" s="153">
        <f>SUM(T22:T30)</f>
        <v>45223800</v>
      </c>
      <c r="U31" s="145"/>
      <c r="V31" s="142" t="s">
        <v>48</v>
      </c>
      <c r="W31" s="146">
        <f>SUM(W22:W30)</f>
        <v>42965200</v>
      </c>
    </row>
    <row r="32" spans="2:23" ht="18.75">
      <c r="B32" s="140"/>
      <c r="C32" s="148">
        <f>+C22-C33</f>
        <v>-301000</v>
      </c>
      <c r="D32" s="140"/>
      <c r="E32" s="140"/>
      <c r="F32" s="148">
        <f>+F22-F33</f>
        <v>-211000</v>
      </c>
      <c r="G32" s="140"/>
      <c r="H32" s="140"/>
      <c r="I32" s="148">
        <f>+I22-I33</f>
        <v>39000</v>
      </c>
      <c r="J32" s="140"/>
      <c r="K32" s="152">
        <f>(E31+H31+K31)/3</f>
        <v>42957200</v>
      </c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52">
        <f>(Q31+T31+W31)/3</f>
        <v>42957200</v>
      </c>
    </row>
    <row r="33" spans="2:23" ht="18.75">
      <c r="B33" s="148"/>
      <c r="C33" s="148">
        <v>36980000</v>
      </c>
      <c r="D33" s="140"/>
      <c r="E33" s="140"/>
      <c r="F33" s="149">
        <v>36520000</v>
      </c>
      <c r="G33" s="140"/>
      <c r="H33" s="140"/>
      <c r="I33" s="149">
        <v>36520000</v>
      </c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</row>
    <row r="34" spans="2:23" ht="18.75"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</row>
    <row r="35" spans="2:23" ht="18.75">
      <c r="B35" s="345" t="s">
        <v>5</v>
      </c>
      <c r="C35" s="342" t="s">
        <v>10</v>
      </c>
      <c r="D35" s="343"/>
      <c r="E35" s="344"/>
      <c r="F35" s="342" t="s">
        <v>15</v>
      </c>
      <c r="G35" s="343"/>
      <c r="H35" s="344"/>
      <c r="I35" s="342" t="s">
        <v>17</v>
      </c>
      <c r="J35" s="343"/>
      <c r="K35" s="344"/>
      <c r="L35" s="140"/>
      <c r="M35" s="140"/>
      <c r="N35" s="345" t="s">
        <v>5</v>
      </c>
      <c r="O35" s="342" t="s">
        <v>10</v>
      </c>
      <c r="P35" s="343"/>
      <c r="Q35" s="344"/>
      <c r="R35" s="342" t="s">
        <v>15</v>
      </c>
      <c r="S35" s="343"/>
      <c r="T35" s="344"/>
      <c r="U35" s="342" t="s">
        <v>17</v>
      </c>
      <c r="V35" s="343"/>
      <c r="W35" s="344"/>
    </row>
    <row r="36" spans="2:23" ht="18.75">
      <c r="B36" s="346"/>
      <c r="C36" s="141" t="s">
        <v>180</v>
      </c>
      <c r="D36" s="142" t="s">
        <v>41</v>
      </c>
      <c r="E36" s="142" t="s">
        <v>44</v>
      </c>
      <c r="F36" s="141" t="s">
        <v>180</v>
      </c>
      <c r="G36" s="142" t="s">
        <v>41</v>
      </c>
      <c r="H36" s="142" t="s">
        <v>44</v>
      </c>
      <c r="I36" s="141" t="s">
        <v>180</v>
      </c>
      <c r="J36" s="142" t="s">
        <v>41</v>
      </c>
      <c r="K36" s="142" t="s">
        <v>44</v>
      </c>
      <c r="L36" s="140"/>
      <c r="M36" s="140"/>
      <c r="N36" s="346"/>
      <c r="O36" s="141" t="s">
        <v>180</v>
      </c>
      <c r="P36" s="142" t="s">
        <v>41</v>
      </c>
      <c r="Q36" s="142" t="s">
        <v>44</v>
      </c>
      <c r="R36" s="141" t="s">
        <v>180</v>
      </c>
      <c r="S36" s="142" t="s">
        <v>41</v>
      </c>
      <c r="T36" s="142" t="s">
        <v>44</v>
      </c>
      <c r="U36" s="141" t="s">
        <v>180</v>
      </c>
      <c r="V36" s="142" t="s">
        <v>41</v>
      </c>
      <c r="W36" s="142" t="s">
        <v>44</v>
      </c>
    </row>
    <row r="37" spans="2:23" ht="18.75">
      <c r="B37" s="143" t="s">
        <v>233</v>
      </c>
      <c r="C37" s="144">
        <v>32000000</v>
      </c>
      <c r="D37" s="143">
        <v>1</v>
      </c>
      <c r="E37" s="144">
        <f t="shared" ref="E37:E45" si="12">+C37*D37</f>
        <v>32000000</v>
      </c>
      <c r="F37" s="144">
        <v>33000000</v>
      </c>
      <c r="G37" s="143">
        <v>1</v>
      </c>
      <c r="H37" s="144">
        <f>+F37*G37</f>
        <v>33000000</v>
      </c>
      <c r="I37" s="144">
        <v>33000000</v>
      </c>
      <c r="J37" s="143">
        <v>1</v>
      </c>
      <c r="K37" s="144">
        <f t="shared" ref="K37:K45" si="13">+I37*J37</f>
        <v>33000000</v>
      </c>
      <c r="L37" s="140"/>
      <c r="M37" s="140"/>
      <c r="N37" s="143" t="s">
        <v>233</v>
      </c>
      <c r="O37" s="144">
        <v>33500000</v>
      </c>
      <c r="P37" s="143">
        <v>1</v>
      </c>
      <c r="Q37" s="144">
        <f t="shared" ref="Q37:Q45" si="14">+O37*P37</f>
        <v>33500000</v>
      </c>
      <c r="R37" s="144">
        <v>34500000</v>
      </c>
      <c r="S37" s="143">
        <v>1</v>
      </c>
      <c r="T37" s="144">
        <f t="shared" ref="T37:T45" si="15">+R37*S37</f>
        <v>34500000</v>
      </c>
      <c r="U37" s="144">
        <v>34500000</v>
      </c>
      <c r="V37" s="143">
        <v>1</v>
      </c>
      <c r="W37" s="144">
        <f t="shared" ref="W37:W45" si="16">+U37*V37</f>
        <v>34500000</v>
      </c>
    </row>
    <row r="38" spans="2:23" ht="18.75">
      <c r="B38" s="143" t="s">
        <v>234</v>
      </c>
      <c r="C38" s="144">
        <v>2944500</v>
      </c>
      <c r="D38" s="143">
        <v>1</v>
      </c>
      <c r="E38" s="144">
        <f t="shared" si="12"/>
        <v>2944500</v>
      </c>
      <c r="F38" s="144">
        <v>5889000</v>
      </c>
      <c r="G38" s="143">
        <v>1</v>
      </c>
      <c r="H38" s="144">
        <f t="shared" ref="H38:H45" si="17">+F38*G38</f>
        <v>5889000</v>
      </c>
      <c r="I38" s="144">
        <v>5152875</v>
      </c>
      <c r="J38" s="143">
        <v>1</v>
      </c>
      <c r="K38" s="144">
        <f t="shared" si="13"/>
        <v>5152875</v>
      </c>
      <c r="L38" s="140"/>
      <c r="M38" s="140"/>
      <c r="N38" s="143" t="s">
        <v>234</v>
      </c>
      <c r="O38" s="144">
        <v>2944500</v>
      </c>
      <c r="P38" s="143">
        <v>1</v>
      </c>
      <c r="Q38" s="144">
        <f t="shared" si="14"/>
        <v>2944500</v>
      </c>
      <c r="R38" s="144">
        <v>5889000</v>
      </c>
      <c r="S38" s="143">
        <v>1</v>
      </c>
      <c r="T38" s="144">
        <f t="shared" si="15"/>
        <v>5889000</v>
      </c>
      <c r="U38" s="144">
        <v>5152875</v>
      </c>
      <c r="V38" s="143">
        <v>1</v>
      </c>
      <c r="W38" s="144">
        <f t="shared" si="16"/>
        <v>5152875</v>
      </c>
    </row>
    <row r="39" spans="2:23" ht="18.75">
      <c r="B39" s="143" t="s">
        <v>235</v>
      </c>
      <c r="C39" s="144">
        <v>7000</v>
      </c>
      <c r="D39" s="143">
        <v>0</v>
      </c>
      <c r="E39" s="144">
        <f t="shared" si="12"/>
        <v>0</v>
      </c>
      <c r="F39" s="144">
        <v>7000</v>
      </c>
      <c r="G39" s="147">
        <v>0</v>
      </c>
      <c r="H39" s="144">
        <f t="shared" si="17"/>
        <v>0</v>
      </c>
      <c r="I39" s="144">
        <v>7000</v>
      </c>
      <c r="J39" s="143">
        <v>0</v>
      </c>
      <c r="K39" s="144">
        <f t="shared" si="13"/>
        <v>0</v>
      </c>
      <c r="L39" s="140"/>
      <c r="M39" s="140"/>
      <c r="N39" s="143" t="s">
        <v>235</v>
      </c>
      <c r="O39" s="144">
        <v>6000</v>
      </c>
      <c r="P39" s="143">
        <v>0</v>
      </c>
      <c r="Q39" s="144">
        <f t="shared" si="14"/>
        <v>0</v>
      </c>
      <c r="R39" s="144">
        <v>7000</v>
      </c>
      <c r="S39" s="147">
        <v>0</v>
      </c>
      <c r="T39" s="144">
        <f t="shared" si="15"/>
        <v>0</v>
      </c>
      <c r="U39" s="144">
        <v>7000</v>
      </c>
      <c r="V39" s="143">
        <v>0</v>
      </c>
      <c r="W39" s="144">
        <f t="shared" si="16"/>
        <v>0</v>
      </c>
    </row>
    <row r="40" spans="2:23" ht="18.75">
      <c r="B40" s="143" t="s">
        <v>236</v>
      </c>
      <c r="C40" s="144">
        <v>80000</v>
      </c>
      <c r="D40" s="143">
        <v>11</v>
      </c>
      <c r="E40" s="144">
        <f t="shared" si="12"/>
        <v>880000</v>
      </c>
      <c r="F40" s="144">
        <v>80000</v>
      </c>
      <c r="G40" s="143">
        <v>33</v>
      </c>
      <c r="H40" s="144">
        <f t="shared" si="17"/>
        <v>2640000</v>
      </c>
      <c r="I40" s="144">
        <v>80000</v>
      </c>
      <c r="J40" s="143">
        <v>12</v>
      </c>
      <c r="K40" s="144">
        <f t="shared" si="13"/>
        <v>960000</v>
      </c>
      <c r="L40" s="140"/>
      <c r="M40" s="140"/>
      <c r="N40" s="143" t="s">
        <v>236</v>
      </c>
      <c r="O40" s="144">
        <v>80000</v>
      </c>
      <c r="P40" s="143">
        <v>11</v>
      </c>
      <c r="Q40" s="144">
        <f t="shared" si="14"/>
        <v>880000</v>
      </c>
      <c r="R40" s="144">
        <v>80000</v>
      </c>
      <c r="S40" s="143">
        <v>33</v>
      </c>
      <c r="T40" s="144">
        <f t="shared" si="15"/>
        <v>2640000</v>
      </c>
      <c r="U40" s="144">
        <v>80000</v>
      </c>
      <c r="V40" s="143">
        <v>12</v>
      </c>
      <c r="W40" s="144">
        <f t="shared" si="16"/>
        <v>960000</v>
      </c>
    </row>
    <row r="41" spans="2:23" ht="18.75">
      <c r="B41" s="143" t="s">
        <v>237</v>
      </c>
      <c r="C41" s="144">
        <v>1500000</v>
      </c>
      <c r="D41" s="143">
        <v>0</v>
      </c>
      <c r="E41" s="144">
        <f t="shared" si="12"/>
        <v>0</v>
      </c>
      <c r="F41" s="144">
        <v>1500000</v>
      </c>
      <c r="G41" s="143">
        <v>0</v>
      </c>
      <c r="H41" s="150">
        <f t="shared" si="17"/>
        <v>0</v>
      </c>
      <c r="I41" s="144">
        <v>1500000</v>
      </c>
      <c r="J41" s="143">
        <v>0</v>
      </c>
      <c r="K41" s="144">
        <f t="shared" si="13"/>
        <v>0</v>
      </c>
      <c r="L41" s="140"/>
      <c r="M41" s="140"/>
      <c r="N41" s="143" t="s">
        <v>237</v>
      </c>
      <c r="O41" s="144">
        <v>1500000</v>
      </c>
      <c r="P41" s="143">
        <v>0</v>
      </c>
      <c r="Q41" s="144">
        <f t="shared" si="14"/>
        <v>0</v>
      </c>
      <c r="R41" s="144">
        <v>1500000</v>
      </c>
      <c r="S41" s="143">
        <v>0</v>
      </c>
      <c r="T41" s="144">
        <f t="shared" si="15"/>
        <v>0</v>
      </c>
      <c r="U41" s="144">
        <v>1500000</v>
      </c>
      <c r="V41" s="143">
        <v>0</v>
      </c>
      <c r="W41" s="144">
        <f t="shared" si="16"/>
        <v>0</v>
      </c>
    </row>
    <row r="42" spans="2:23" ht="18.75">
      <c r="B42" s="143" t="s">
        <v>238</v>
      </c>
      <c r="C42" s="144">
        <v>1000000</v>
      </c>
      <c r="D42" s="143">
        <v>0</v>
      </c>
      <c r="E42" s="144">
        <f t="shared" si="12"/>
        <v>0</v>
      </c>
      <c r="F42" s="144">
        <v>1000000</v>
      </c>
      <c r="G42" s="143">
        <v>0</v>
      </c>
      <c r="H42" s="150">
        <f t="shared" si="17"/>
        <v>0</v>
      </c>
      <c r="I42" s="144">
        <v>1000000</v>
      </c>
      <c r="J42" s="143">
        <v>0</v>
      </c>
      <c r="K42" s="144">
        <f t="shared" si="13"/>
        <v>0</v>
      </c>
      <c r="L42" s="140"/>
      <c r="M42" s="140"/>
      <c r="N42" s="143" t="s">
        <v>238</v>
      </c>
      <c r="O42" s="144">
        <v>1000000</v>
      </c>
      <c r="P42" s="143">
        <v>0</v>
      </c>
      <c r="Q42" s="144">
        <f t="shared" si="14"/>
        <v>0</v>
      </c>
      <c r="R42" s="144">
        <v>1000000</v>
      </c>
      <c r="S42" s="143">
        <v>0</v>
      </c>
      <c r="T42" s="144">
        <f t="shared" si="15"/>
        <v>0</v>
      </c>
      <c r="U42" s="144">
        <v>1000000</v>
      </c>
      <c r="V42" s="143">
        <v>0</v>
      </c>
      <c r="W42" s="144">
        <f t="shared" si="16"/>
        <v>0</v>
      </c>
    </row>
    <row r="43" spans="2:23" ht="18.75">
      <c r="B43" s="143" t="s">
        <v>239</v>
      </c>
      <c r="C43" s="144">
        <v>400000</v>
      </c>
      <c r="D43" s="143">
        <v>0</v>
      </c>
      <c r="E43" s="144">
        <f t="shared" si="12"/>
        <v>0</v>
      </c>
      <c r="F43" s="144">
        <v>400000</v>
      </c>
      <c r="G43" s="143">
        <v>0</v>
      </c>
      <c r="H43" s="150">
        <f t="shared" si="17"/>
        <v>0</v>
      </c>
      <c r="I43" s="144">
        <v>400000</v>
      </c>
      <c r="J43" s="143">
        <v>0</v>
      </c>
      <c r="K43" s="144">
        <f t="shared" si="13"/>
        <v>0</v>
      </c>
      <c r="L43" s="140"/>
      <c r="M43" s="140"/>
      <c r="N43" s="143" t="s">
        <v>239</v>
      </c>
      <c r="O43" s="144">
        <v>400000</v>
      </c>
      <c r="P43" s="143">
        <v>0</v>
      </c>
      <c r="Q43" s="144">
        <f t="shared" si="14"/>
        <v>0</v>
      </c>
      <c r="R43" s="144">
        <v>400000</v>
      </c>
      <c r="S43" s="143">
        <v>0</v>
      </c>
      <c r="T43" s="144">
        <f t="shared" si="15"/>
        <v>0</v>
      </c>
      <c r="U43" s="144">
        <v>400000</v>
      </c>
      <c r="V43" s="143">
        <v>0</v>
      </c>
      <c r="W43" s="144">
        <f t="shared" si="16"/>
        <v>0</v>
      </c>
    </row>
    <row r="44" spans="2:23" ht="18.75">
      <c r="B44" s="143" t="s">
        <v>240</v>
      </c>
      <c r="C44" s="144">
        <v>500000</v>
      </c>
      <c r="D44" s="143">
        <v>0</v>
      </c>
      <c r="E44" s="144">
        <f t="shared" si="12"/>
        <v>0</v>
      </c>
      <c r="F44" s="144">
        <v>500000</v>
      </c>
      <c r="G44" s="143">
        <v>0</v>
      </c>
      <c r="H44" s="150">
        <f t="shared" si="17"/>
        <v>0</v>
      </c>
      <c r="I44" s="144">
        <v>500000</v>
      </c>
      <c r="J44" s="143">
        <v>0</v>
      </c>
      <c r="K44" s="144">
        <f t="shared" si="13"/>
        <v>0</v>
      </c>
      <c r="L44" s="140"/>
      <c r="M44" s="140"/>
      <c r="N44" s="143" t="s">
        <v>240</v>
      </c>
      <c r="O44" s="144">
        <v>500000</v>
      </c>
      <c r="P44" s="143">
        <v>0</v>
      </c>
      <c r="Q44" s="144">
        <f t="shared" si="14"/>
        <v>0</v>
      </c>
      <c r="R44" s="144">
        <v>500000</v>
      </c>
      <c r="S44" s="143">
        <v>0</v>
      </c>
      <c r="T44" s="144">
        <f t="shared" si="15"/>
        <v>0</v>
      </c>
      <c r="U44" s="144">
        <v>500000</v>
      </c>
      <c r="V44" s="143">
        <v>0</v>
      </c>
      <c r="W44" s="144">
        <f t="shared" si="16"/>
        <v>0</v>
      </c>
    </row>
    <row r="45" spans="2:23" ht="18.75">
      <c r="B45" s="143" t="s">
        <v>241</v>
      </c>
      <c r="C45" s="144">
        <v>345375</v>
      </c>
      <c r="D45" s="143">
        <v>0</v>
      </c>
      <c r="E45" s="144">
        <f t="shared" si="12"/>
        <v>0</v>
      </c>
      <c r="F45" s="144">
        <v>345375</v>
      </c>
      <c r="G45" s="143">
        <v>0</v>
      </c>
      <c r="H45" s="150">
        <f t="shared" si="17"/>
        <v>0</v>
      </c>
      <c r="I45" s="144">
        <v>345375</v>
      </c>
      <c r="J45" s="143">
        <v>0</v>
      </c>
      <c r="K45" s="144">
        <f t="shared" si="13"/>
        <v>0</v>
      </c>
      <c r="L45" s="140"/>
      <c r="M45" s="140"/>
      <c r="N45" s="143" t="s">
        <v>241</v>
      </c>
      <c r="O45" s="144">
        <v>345375</v>
      </c>
      <c r="P45" s="143">
        <v>0</v>
      </c>
      <c r="Q45" s="144">
        <f t="shared" si="14"/>
        <v>0</v>
      </c>
      <c r="R45" s="144">
        <v>345375</v>
      </c>
      <c r="S45" s="143">
        <v>0</v>
      </c>
      <c r="T45" s="144">
        <f t="shared" si="15"/>
        <v>0</v>
      </c>
      <c r="U45" s="144">
        <v>345375</v>
      </c>
      <c r="V45" s="143">
        <v>0</v>
      </c>
      <c r="W45" s="144">
        <f t="shared" si="16"/>
        <v>0</v>
      </c>
    </row>
    <row r="46" spans="2:23" ht="18.75">
      <c r="B46" s="145"/>
      <c r="C46" s="145"/>
      <c r="D46" s="142" t="s">
        <v>48</v>
      </c>
      <c r="E46" s="146">
        <f>SUM(E37:E45)</f>
        <v>35824500</v>
      </c>
      <c r="F46" s="145"/>
      <c r="G46" s="142" t="s">
        <v>48</v>
      </c>
      <c r="H46" s="146">
        <f>SUM(H37:H45)</f>
        <v>41529000</v>
      </c>
      <c r="I46" s="145"/>
      <c r="J46" s="142" t="s">
        <v>48</v>
      </c>
      <c r="K46" s="146">
        <f>SUM(K37:K45)</f>
        <v>39112875</v>
      </c>
      <c r="L46" s="140"/>
      <c r="M46" s="140"/>
      <c r="N46" s="145"/>
      <c r="O46" s="145"/>
      <c r="P46" s="142" t="s">
        <v>48</v>
      </c>
      <c r="Q46" s="146">
        <f>SUM(Q37:Q45)</f>
        <v>37324500</v>
      </c>
      <c r="R46" s="145"/>
      <c r="S46" s="142" t="s">
        <v>48</v>
      </c>
      <c r="T46" s="153">
        <f>SUM(T37:T45)</f>
        <v>43029000</v>
      </c>
      <c r="U46" s="145"/>
      <c r="V46" s="142" t="s">
        <v>48</v>
      </c>
      <c r="W46" s="146">
        <f>SUM(W37:W45)</f>
        <v>40612875</v>
      </c>
    </row>
    <row r="47" spans="2:23" ht="18.75">
      <c r="B47" s="140"/>
      <c r="C47" s="140"/>
      <c r="D47" s="140"/>
      <c r="E47" s="140"/>
      <c r="F47" s="140"/>
      <c r="G47" s="140"/>
      <c r="H47" s="140"/>
      <c r="I47" s="140"/>
      <c r="J47" s="140"/>
      <c r="K47" s="152">
        <f>(E46+H46+K46)/3</f>
        <v>38822125</v>
      </c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52">
        <f>(Q46+T46+W46)/3</f>
        <v>40322125</v>
      </c>
    </row>
    <row r="48" spans="2:23" ht="18.75">
      <c r="B48" s="140"/>
      <c r="C48" s="140"/>
      <c r="D48" s="140"/>
      <c r="E48" s="140"/>
      <c r="F48" s="140"/>
      <c r="G48" s="140"/>
      <c r="H48" s="140"/>
      <c r="I48" s="140"/>
      <c r="J48" s="140"/>
      <c r="K48" s="152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52"/>
    </row>
    <row r="49" spans="2:23" ht="18.75">
      <c r="B49" s="345" t="s">
        <v>6</v>
      </c>
      <c r="C49" s="342" t="s">
        <v>10</v>
      </c>
      <c r="D49" s="343"/>
      <c r="E49" s="344"/>
      <c r="F49" s="342" t="s">
        <v>15</v>
      </c>
      <c r="G49" s="343"/>
      <c r="H49" s="344"/>
      <c r="I49" s="342" t="s">
        <v>17</v>
      </c>
      <c r="J49" s="343"/>
      <c r="K49" s="344"/>
      <c r="L49" s="140"/>
      <c r="M49" s="140"/>
      <c r="N49" s="345" t="s">
        <v>6</v>
      </c>
      <c r="O49" s="342" t="s">
        <v>10</v>
      </c>
      <c r="P49" s="343"/>
      <c r="Q49" s="344"/>
      <c r="R49" s="342" t="s">
        <v>15</v>
      </c>
      <c r="S49" s="343"/>
      <c r="T49" s="344"/>
      <c r="U49" s="342" t="s">
        <v>17</v>
      </c>
      <c r="V49" s="343"/>
      <c r="W49" s="344"/>
    </row>
    <row r="50" spans="2:23" ht="18.75">
      <c r="B50" s="346"/>
      <c r="C50" s="141" t="s">
        <v>180</v>
      </c>
      <c r="D50" s="142" t="s">
        <v>41</v>
      </c>
      <c r="E50" s="142" t="s">
        <v>44</v>
      </c>
      <c r="F50" s="141" t="s">
        <v>180</v>
      </c>
      <c r="G50" s="142" t="s">
        <v>41</v>
      </c>
      <c r="H50" s="142" t="s">
        <v>44</v>
      </c>
      <c r="I50" s="141" t="s">
        <v>180</v>
      </c>
      <c r="J50" s="142" t="s">
        <v>41</v>
      </c>
      <c r="K50" s="142" t="s">
        <v>44</v>
      </c>
      <c r="L50" s="140"/>
      <c r="M50" s="140"/>
      <c r="N50" s="346"/>
      <c r="O50" s="141" t="s">
        <v>180</v>
      </c>
      <c r="P50" s="142" t="s">
        <v>41</v>
      </c>
      <c r="Q50" s="142" t="s">
        <v>44</v>
      </c>
      <c r="R50" s="141" t="s">
        <v>180</v>
      </c>
      <c r="S50" s="142" t="s">
        <v>41</v>
      </c>
      <c r="T50" s="142" t="s">
        <v>44</v>
      </c>
      <c r="U50" s="141" t="s">
        <v>180</v>
      </c>
      <c r="V50" s="142" t="s">
        <v>41</v>
      </c>
      <c r="W50" s="142" t="s">
        <v>44</v>
      </c>
    </row>
    <row r="51" spans="2:23" ht="18.75">
      <c r="B51" s="143" t="s">
        <v>233</v>
      </c>
      <c r="C51" s="144">
        <v>29002222</v>
      </c>
      <c r="D51" s="143">
        <v>1</v>
      </c>
      <c r="E51" s="144">
        <f t="shared" ref="E51:E59" si="18">+C51*D51</f>
        <v>29002222</v>
      </c>
      <c r="F51" s="144">
        <v>29002222</v>
      </c>
      <c r="G51" s="143">
        <v>1</v>
      </c>
      <c r="H51" s="144">
        <f t="shared" ref="H51:H59" si="19">+F51*G51</f>
        <v>29002222</v>
      </c>
      <c r="I51" s="144">
        <v>29002222</v>
      </c>
      <c r="J51" s="143">
        <v>1</v>
      </c>
      <c r="K51" s="144">
        <f t="shared" ref="K51:K59" si="20">+I51*J51</f>
        <v>29002222</v>
      </c>
      <c r="L51" s="140"/>
      <c r="M51" s="140"/>
      <c r="N51" s="143" t="s">
        <v>233</v>
      </c>
      <c r="O51" s="144">
        <v>29002222</v>
      </c>
      <c r="P51" s="143">
        <v>1</v>
      </c>
      <c r="Q51" s="144">
        <f t="shared" ref="Q51:Q59" si="21">+O51*P51</f>
        <v>29002222</v>
      </c>
      <c r="R51" s="144">
        <v>29002222</v>
      </c>
      <c r="S51" s="143">
        <v>1</v>
      </c>
      <c r="T51" s="144">
        <f t="shared" ref="T51:T59" si="22">+R51*S51</f>
        <v>29002222</v>
      </c>
      <c r="U51" s="144">
        <v>29002222</v>
      </c>
      <c r="V51" s="143">
        <v>1</v>
      </c>
      <c r="W51" s="144">
        <f t="shared" ref="W51:W59" si="23">+U51*V51</f>
        <v>29002222</v>
      </c>
    </row>
    <row r="52" spans="2:23" ht="18.75">
      <c r="B52" s="143" t="s">
        <v>234</v>
      </c>
      <c r="C52" s="144">
        <v>3315600</v>
      </c>
      <c r="D52" s="143">
        <v>1</v>
      </c>
      <c r="E52" s="144">
        <f t="shared" si="18"/>
        <v>3315600</v>
      </c>
      <c r="F52" s="144">
        <v>6631200</v>
      </c>
      <c r="G52" s="143">
        <v>1</v>
      </c>
      <c r="H52" s="144">
        <f t="shared" si="19"/>
        <v>6631200</v>
      </c>
      <c r="I52" s="144">
        <v>5802300</v>
      </c>
      <c r="J52" s="143">
        <v>1</v>
      </c>
      <c r="K52" s="144">
        <f t="shared" si="20"/>
        <v>5802300</v>
      </c>
      <c r="L52" s="140"/>
      <c r="M52" s="140"/>
      <c r="N52" s="143" t="s">
        <v>234</v>
      </c>
      <c r="O52" s="144">
        <v>3315600</v>
      </c>
      <c r="P52" s="143">
        <v>1</v>
      </c>
      <c r="Q52" s="144">
        <f t="shared" si="21"/>
        <v>3315600</v>
      </c>
      <c r="R52" s="144">
        <v>6631200</v>
      </c>
      <c r="S52" s="143">
        <v>1</v>
      </c>
      <c r="T52" s="144">
        <f t="shared" si="22"/>
        <v>6631200</v>
      </c>
      <c r="U52" s="144">
        <v>5802300</v>
      </c>
      <c r="V52" s="143">
        <v>1</v>
      </c>
      <c r="W52" s="144">
        <f t="shared" si="23"/>
        <v>5802300</v>
      </c>
    </row>
    <row r="53" spans="2:23" ht="18.75">
      <c r="B53" s="143" t="s">
        <v>235</v>
      </c>
      <c r="C53" s="144">
        <v>8000</v>
      </c>
      <c r="D53" s="143">
        <v>0</v>
      </c>
      <c r="E53" s="144">
        <f t="shared" si="18"/>
        <v>0</v>
      </c>
      <c r="F53" s="144">
        <v>8000</v>
      </c>
      <c r="G53" s="147">
        <v>0</v>
      </c>
      <c r="H53" s="144">
        <f t="shared" si="19"/>
        <v>0</v>
      </c>
      <c r="I53" s="144">
        <v>8000</v>
      </c>
      <c r="J53" s="143">
        <v>0</v>
      </c>
      <c r="K53" s="144">
        <f t="shared" si="20"/>
        <v>0</v>
      </c>
      <c r="L53" s="140"/>
      <c r="M53" s="140"/>
      <c r="N53" s="143" t="s">
        <v>235</v>
      </c>
      <c r="O53" s="144">
        <v>8000</v>
      </c>
      <c r="P53" s="143">
        <v>0</v>
      </c>
      <c r="Q53" s="144">
        <f t="shared" si="21"/>
        <v>0</v>
      </c>
      <c r="R53" s="144">
        <v>8000</v>
      </c>
      <c r="S53" s="147">
        <v>0</v>
      </c>
      <c r="T53" s="144">
        <f t="shared" si="22"/>
        <v>0</v>
      </c>
      <c r="U53" s="144">
        <v>8000</v>
      </c>
      <c r="V53" s="143">
        <v>0</v>
      </c>
      <c r="W53" s="144">
        <f t="shared" si="23"/>
        <v>0</v>
      </c>
    </row>
    <row r="54" spans="2:23" ht="18.75">
      <c r="B54" s="143" t="s">
        <v>236</v>
      </c>
      <c r="C54" s="144">
        <v>80000</v>
      </c>
      <c r="D54" s="143">
        <v>11</v>
      </c>
      <c r="E54" s="144">
        <f t="shared" si="18"/>
        <v>880000</v>
      </c>
      <c r="F54" s="144">
        <v>80000</v>
      </c>
      <c r="G54" s="143">
        <v>33</v>
      </c>
      <c r="H54" s="144">
        <f t="shared" si="19"/>
        <v>2640000</v>
      </c>
      <c r="I54" s="144">
        <v>80000</v>
      </c>
      <c r="J54" s="143">
        <v>12</v>
      </c>
      <c r="K54" s="144">
        <f t="shared" si="20"/>
        <v>960000</v>
      </c>
      <c r="L54" s="140"/>
      <c r="M54" s="140"/>
      <c r="N54" s="143" t="s">
        <v>236</v>
      </c>
      <c r="O54" s="144">
        <v>80000</v>
      </c>
      <c r="P54" s="143">
        <v>11</v>
      </c>
      <c r="Q54" s="144">
        <f t="shared" si="21"/>
        <v>880000</v>
      </c>
      <c r="R54" s="144">
        <v>80000</v>
      </c>
      <c r="S54" s="143">
        <v>33</v>
      </c>
      <c r="T54" s="144">
        <f t="shared" si="22"/>
        <v>2640000</v>
      </c>
      <c r="U54" s="144">
        <v>80000</v>
      </c>
      <c r="V54" s="143">
        <v>12</v>
      </c>
      <c r="W54" s="144">
        <f t="shared" si="23"/>
        <v>960000</v>
      </c>
    </row>
    <row r="55" spans="2:23" ht="18.75">
      <c r="B55" s="143" t="s">
        <v>237</v>
      </c>
      <c r="C55" s="144">
        <v>1500000</v>
      </c>
      <c r="D55" s="143">
        <v>0</v>
      </c>
      <c r="E55" s="144">
        <f t="shared" si="18"/>
        <v>0</v>
      </c>
      <c r="F55" s="144">
        <v>1500000</v>
      </c>
      <c r="G55" s="143">
        <v>0</v>
      </c>
      <c r="H55" s="144">
        <f t="shared" si="19"/>
        <v>0</v>
      </c>
      <c r="I55" s="144">
        <v>1500000</v>
      </c>
      <c r="J55" s="143">
        <v>0</v>
      </c>
      <c r="K55" s="144">
        <f t="shared" si="20"/>
        <v>0</v>
      </c>
      <c r="L55" s="140"/>
      <c r="M55" s="140"/>
      <c r="N55" s="143" t="s">
        <v>237</v>
      </c>
      <c r="O55" s="144">
        <v>1500000</v>
      </c>
      <c r="P55" s="143">
        <v>0</v>
      </c>
      <c r="Q55" s="144">
        <f t="shared" si="21"/>
        <v>0</v>
      </c>
      <c r="R55" s="144">
        <v>1500000</v>
      </c>
      <c r="S55" s="143">
        <v>0</v>
      </c>
      <c r="T55" s="144">
        <f t="shared" si="22"/>
        <v>0</v>
      </c>
      <c r="U55" s="144">
        <v>1500000</v>
      </c>
      <c r="V55" s="143">
        <v>0</v>
      </c>
      <c r="W55" s="144">
        <f t="shared" si="23"/>
        <v>0</v>
      </c>
    </row>
    <row r="56" spans="2:23" ht="18.75">
      <c r="B56" s="143" t="s">
        <v>238</v>
      </c>
      <c r="C56" s="144">
        <v>1125000</v>
      </c>
      <c r="D56" s="143">
        <v>0</v>
      </c>
      <c r="E56" s="144">
        <f t="shared" si="18"/>
        <v>0</v>
      </c>
      <c r="F56" s="144">
        <v>1125000</v>
      </c>
      <c r="G56" s="143">
        <v>0</v>
      </c>
      <c r="H56" s="144">
        <f t="shared" si="19"/>
        <v>0</v>
      </c>
      <c r="I56" s="144">
        <v>1125000</v>
      </c>
      <c r="J56" s="143">
        <v>0</v>
      </c>
      <c r="K56" s="144">
        <f t="shared" si="20"/>
        <v>0</v>
      </c>
      <c r="L56" s="140"/>
      <c r="M56" s="140"/>
      <c r="N56" s="143" t="s">
        <v>238</v>
      </c>
      <c r="O56" s="144">
        <v>1125000</v>
      </c>
      <c r="P56" s="143">
        <v>0</v>
      </c>
      <c r="Q56" s="144">
        <f t="shared" si="21"/>
        <v>0</v>
      </c>
      <c r="R56" s="144">
        <v>1125000</v>
      </c>
      <c r="S56" s="143">
        <v>0</v>
      </c>
      <c r="T56" s="144">
        <f t="shared" si="22"/>
        <v>0</v>
      </c>
      <c r="U56" s="144">
        <v>1125000</v>
      </c>
      <c r="V56" s="143">
        <v>0</v>
      </c>
      <c r="W56" s="144">
        <f t="shared" si="23"/>
        <v>0</v>
      </c>
    </row>
    <row r="57" spans="2:23" ht="18.75">
      <c r="B57" s="143" t="s">
        <v>239</v>
      </c>
      <c r="C57" s="144">
        <v>300000</v>
      </c>
      <c r="D57" s="143">
        <v>0</v>
      </c>
      <c r="E57" s="144">
        <f t="shared" si="18"/>
        <v>0</v>
      </c>
      <c r="F57" s="144">
        <v>300000</v>
      </c>
      <c r="G57" s="143">
        <v>0</v>
      </c>
      <c r="H57" s="144">
        <f t="shared" si="19"/>
        <v>0</v>
      </c>
      <c r="I57" s="144">
        <v>300000</v>
      </c>
      <c r="J57" s="143">
        <v>0</v>
      </c>
      <c r="K57" s="144">
        <f t="shared" si="20"/>
        <v>0</v>
      </c>
      <c r="L57" s="140"/>
      <c r="M57" s="140"/>
      <c r="N57" s="143" t="s">
        <v>239</v>
      </c>
      <c r="O57" s="144">
        <v>300000</v>
      </c>
      <c r="P57" s="143">
        <v>0</v>
      </c>
      <c r="Q57" s="144">
        <f t="shared" si="21"/>
        <v>0</v>
      </c>
      <c r="R57" s="144">
        <v>300000</v>
      </c>
      <c r="S57" s="143">
        <v>0</v>
      </c>
      <c r="T57" s="144">
        <f t="shared" si="22"/>
        <v>0</v>
      </c>
      <c r="U57" s="144">
        <v>300000</v>
      </c>
      <c r="V57" s="143">
        <v>0</v>
      </c>
      <c r="W57" s="144">
        <f t="shared" si="23"/>
        <v>0</v>
      </c>
    </row>
    <row r="58" spans="2:23" ht="18.75">
      <c r="B58" s="143" t="s">
        <v>240</v>
      </c>
      <c r="C58" s="144">
        <v>200000</v>
      </c>
      <c r="D58" s="143">
        <v>0</v>
      </c>
      <c r="E58" s="144">
        <f t="shared" si="18"/>
        <v>0</v>
      </c>
      <c r="F58" s="144">
        <v>200000</v>
      </c>
      <c r="G58" s="143">
        <v>0</v>
      </c>
      <c r="H58" s="144">
        <f t="shared" si="19"/>
        <v>0</v>
      </c>
      <c r="I58" s="144">
        <v>200000</v>
      </c>
      <c r="J58" s="143">
        <v>0</v>
      </c>
      <c r="K58" s="144">
        <f t="shared" si="20"/>
        <v>0</v>
      </c>
      <c r="L58" s="140"/>
      <c r="M58" s="140"/>
      <c r="N58" s="143" t="s">
        <v>240</v>
      </c>
      <c r="O58" s="144">
        <v>200000</v>
      </c>
      <c r="P58" s="143">
        <v>0</v>
      </c>
      <c r="Q58" s="144">
        <f t="shared" si="21"/>
        <v>0</v>
      </c>
      <c r="R58" s="144">
        <v>200000</v>
      </c>
      <c r="S58" s="143">
        <v>0</v>
      </c>
      <c r="T58" s="144">
        <f t="shared" si="22"/>
        <v>0</v>
      </c>
      <c r="U58" s="144">
        <v>200000</v>
      </c>
      <c r="V58" s="143">
        <v>0</v>
      </c>
      <c r="W58" s="144">
        <f t="shared" si="23"/>
        <v>0</v>
      </c>
    </row>
    <row r="59" spans="2:23" ht="18.75">
      <c r="B59" s="143" t="s">
        <v>241</v>
      </c>
      <c r="C59" s="144">
        <v>276300</v>
      </c>
      <c r="D59" s="143">
        <v>0</v>
      </c>
      <c r="E59" s="144">
        <f t="shared" si="18"/>
        <v>0</v>
      </c>
      <c r="F59" s="144">
        <v>276300</v>
      </c>
      <c r="G59" s="143">
        <v>0</v>
      </c>
      <c r="H59" s="144">
        <f t="shared" si="19"/>
        <v>0</v>
      </c>
      <c r="I59" s="144">
        <v>276300</v>
      </c>
      <c r="J59" s="143">
        <v>0</v>
      </c>
      <c r="K59" s="144">
        <f t="shared" si="20"/>
        <v>0</v>
      </c>
      <c r="L59" s="140"/>
      <c r="M59" s="140"/>
      <c r="N59" s="143" t="s">
        <v>241</v>
      </c>
      <c r="O59" s="144">
        <v>276300</v>
      </c>
      <c r="P59" s="143">
        <v>0</v>
      </c>
      <c r="Q59" s="144">
        <f t="shared" si="21"/>
        <v>0</v>
      </c>
      <c r="R59" s="144">
        <v>276300</v>
      </c>
      <c r="S59" s="143">
        <v>0</v>
      </c>
      <c r="T59" s="144">
        <f t="shared" si="22"/>
        <v>0</v>
      </c>
      <c r="U59" s="144">
        <v>276300</v>
      </c>
      <c r="V59" s="143">
        <v>0</v>
      </c>
      <c r="W59" s="144">
        <f t="shared" si="23"/>
        <v>0</v>
      </c>
    </row>
    <row r="60" spans="2:23" ht="18.75">
      <c r="B60" s="145"/>
      <c r="C60" s="145"/>
      <c r="D60" s="142" t="s">
        <v>48</v>
      </c>
      <c r="E60" s="146">
        <f>SUM(E51:E59)</f>
        <v>33197822</v>
      </c>
      <c r="F60" s="145"/>
      <c r="G60" s="142" t="s">
        <v>48</v>
      </c>
      <c r="H60" s="151">
        <f>SUM(H51:H59)</f>
        <v>38273422</v>
      </c>
      <c r="I60" s="145"/>
      <c r="J60" s="142" t="s">
        <v>48</v>
      </c>
      <c r="K60" s="146">
        <f>SUM(K51:K59)</f>
        <v>35764522</v>
      </c>
      <c r="L60" s="140"/>
      <c r="M60" s="140"/>
      <c r="N60" s="145"/>
      <c r="O60" s="145"/>
      <c r="P60" s="142" t="s">
        <v>48</v>
      </c>
      <c r="Q60" s="146">
        <f>SUM(Q51:Q59)</f>
        <v>33197822</v>
      </c>
      <c r="R60" s="145"/>
      <c r="S60" s="142" t="s">
        <v>48</v>
      </c>
      <c r="T60" s="153">
        <f>SUM(T51:T59)</f>
        <v>38273422</v>
      </c>
      <c r="U60" s="145"/>
      <c r="V60" s="142" t="s">
        <v>48</v>
      </c>
      <c r="W60" s="146">
        <f>SUM(W51:W59)</f>
        <v>35764522</v>
      </c>
    </row>
    <row r="61" spans="2:23" ht="18.75">
      <c r="B61" s="140"/>
      <c r="C61" s="140"/>
      <c r="D61" s="140"/>
      <c r="E61" s="140"/>
      <c r="F61" s="140"/>
      <c r="G61" s="140"/>
      <c r="H61" s="140"/>
      <c r="I61" s="140"/>
      <c r="J61" s="140"/>
      <c r="K61" s="152">
        <f>(E60+H60+K60)/3</f>
        <v>35745255.333333336</v>
      </c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52">
        <f>(Q60+T60+W60)/3</f>
        <v>35745255.333333336</v>
      </c>
    </row>
    <row r="62" spans="2:23" ht="18.75"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</row>
    <row r="64" spans="2:23">
      <c r="B64" s="354" t="s">
        <v>7</v>
      </c>
      <c r="C64" s="268" t="s">
        <v>10</v>
      </c>
      <c r="D64" s="347"/>
      <c r="E64" s="269"/>
      <c r="F64" s="268" t="s">
        <v>15</v>
      </c>
      <c r="G64" s="347"/>
      <c r="H64" s="269"/>
      <c r="I64" s="268" t="s">
        <v>17</v>
      </c>
      <c r="J64" s="347"/>
      <c r="K64" s="269"/>
      <c r="N64" s="354" t="s">
        <v>7</v>
      </c>
      <c r="O64" s="268" t="s">
        <v>10</v>
      </c>
      <c r="P64" s="347"/>
      <c r="Q64" s="269"/>
      <c r="R64" s="268" t="s">
        <v>15</v>
      </c>
      <c r="S64" s="347"/>
      <c r="T64" s="269"/>
      <c r="U64" s="268" t="s">
        <v>17</v>
      </c>
      <c r="V64" s="347"/>
      <c r="W64" s="269"/>
    </row>
    <row r="65" spans="2:23">
      <c r="B65" s="355"/>
      <c r="C65" s="5" t="s">
        <v>180</v>
      </c>
      <c r="D65" s="6" t="s">
        <v>41</v>
      </c>
      <c r="E65" s="6" t="s">
        <v>44</v>
      </c>
      <c r="F65" s="5" t="s">
        <v>180</v>
      </c>
      <c r="G65" s="6" t="s">
        <v>41</v>
      </c>
      <c r="H65" s="6" t="s">
        <v>44</v>
      </c>
      <c r="I65" s="5" t="s">
        <v>180</v>
      </c>
      <c r="J65" s="6" t="s">
        <v>41</v>
      </c>
      <c r="K65" s="6" t="s">
        <v>44</v>
      </c>
      <c r="N65" s="355"/>
      <c r="O65" s="5" t="s">
        <v>180</v>
      </c>
      <c r="P65" s="6" t="s">
        <v>41</v>
      </c>
      <c r="Q65" s="6" t="s">
        <v>44</v>
      </c>
      <c r="R65" s="5" t="s">
        <v>180</v>
      </c>
      <c r="S65" s="6" t="s">
        <v>41</v>
      </c>
      <c r="T65" s="6" t="s">
        <v>44</v>
      </c>
      <c r="U65" s="5" t="s">
        <v>180</v>
      </c>
      <c r="V65" s="6" t="s">
        <v>41</v>
      </c>
      <c r="W65" s="6" t="s">
        <v>44</v>
      </c>
    </row>
    <row r="66" spans="2:23">
      <c r="B66" s="7" t="s">
        <v>233</v>
      </c>
      <c r="C66" s="8"/>
      <c r="D66" s="7">
        <v>1</v>
      </c>
      <c r="E66" s="8">
        <f t="shared" ref="E66:E74" si="24">+C66*D66</f>
        <v>0</v>
      </c>
      <c r="F66" s="13"/>
      <c r="G66" s="7">
        <v>1</v>
      </c>
      <c r="H66" s="8">
        <f t="shared" ref="H66:H74" si="25">+F66*G66</f>
        <v>0</v>
      </c>
      <c r="I66" s="8"/>
      <c r="J66" s="7">
        <v>1</v>
      </c>
      <c r="K66" s="8">
        <f t="shared" ref="K66:K74" si="26">+I66*J66</f>
        <v>0</v>
      </c>
      <c r="N66" s="7" t="s">
        <v>233</v>
      </c>
      <c r="O66" s="8"/>
      <c r="P66" s="7">
        <v>1</v>
      </c>
      <c r="Q66" s="8">
        <f t="shared" ref="Q66:Q74" si="27">+O66*P66</f>
        <v>0</v>
      </c>
      <c r="R66" s="8"/>
      <c r="S66" s="7">
        <v>1</v>
      </c>
      <c r="T66" s="8">
        <f t="shared" ref="T66:T74" si="28">+R66*S66</f>
        <v>0</v>
      </c>
      <c r="U66" s="8"/>
      <c r="V66" s="7">
        <v>1</v>
      </c>
      <c r="W66" s="8">
        <f t="shared" ref="W66:W74" si="29">+U66*V66</f>
        <v>0</v>
      </c>
    </row>
    <row r="67" spans="2:23">
      <c r="B67" s="7" t="s">
        <v>234</v>
      </c>
      <c r="C67" s="8"/>
      <c r="D67" s="7">
        <v>1</v>
      </c>
      <c r="E67" s="8">
        <f t="shared" si="24"/>
        <v>0</v>
      </c>
      <c r="F67" s="13"/>
      <c r="G67" s="7">
        <v>1</v>
      </c>
      <c r="H67" s="8">
        <f t="shared" si="25"/>
        <v>0</v>
      </c>
      <c r="I67" s="8"/>
      <c r="J67" s="7">
        <v>1</v>
      </c>
      <c r="K67" s="8">
        <f t="shared" si="26"/>
        <v>0</v>
      </c>
      <c r="N67" s="7" t="s">
        <v>234</v>
      </c>
      <c r="O67" s="8"/>
      <c r="P67" s="7">
        <v>1</v>
      </c>
      <c r="Q67" s="8">
        <f t="shared" si="27"/>
        <v>0</v>
      </c>
      <c r="R67" s="8"/>
      <c r="S67" s="7">
        <v>1</v>
      </c>
      <c r="T67" s="8">
        <f t="shared" si="28"/>
        <v>0</v>
      </c>
      <c r="U67" s="8"/>
      <c r="V67" s="7">
        <v>1</v>
      </c>
      <c r="W67" s="8">
        <f t="shared" si="29"/>
        <v>0</v>
      </c>
    </row>
    <row r="68" spans="2:23">
      <c r="B68" s="7" t="s">
        <v>235</v>
      </c>
      <c r="C68" s="8"/>
      <c r="D68" s="7">
        <v>0</v>
      </c>
      <c r="E68" s="8">
        <f t="shared" si="24"/>
        <v>0</v>
      </c>
      <c r="F68" s="13"/>
      <c r="G68" s="7">
        <v>0</v>
      </c>
      <c r="H68" s="8">
        <f t="shared" si="25"/>
        <v>0</v>
      </c>
      <c r="I68" s="8"/>
      <c r="J68" s="7">
        <v>0</v>
      </c>
      <c r="K68" s="8">
        <f t="shared" si="26"/>
        <v>0</v>
      </c>
      <c r="N68" s="7" t="s">
        <v>235</v>
      </c>
      <c r="O68" s="8"/>
      <c r="P68" s="7">
        <v>0</v>
      </c>
      <c r="Q68" s="8">
        <f t="shared" si="27"/>
        <v>0</v>
      </c>
      <c r="R68" s="8"/>
      <c r="S68" s="7">
        <v>0</v>
      </c>
      <c r="T68" s="8">
        <f t="shared" si="28"/>
        <v>0</v>
      </c>
      <c r="U68" s="8"/>
      <c r="V68" s="7">
        <v>0</v>
      </c>
      <c r="W68" s="8">
        <f t="shared" si="29"/>
        <v>0</v>
      </c>
    </row>
    <row r="69" spans="2:23">
      <c r="B69" s="7" t="s">
        <v>236</v>
      </c>
      <c r="C69" s="8"/>
      <c r="D69" s="7">
        <v>11</v>
      </c>
      <c r="E69" s="8">
        <f t="shared" si="24"/>
        <v>0</v>
      </c>
      <c r="F69" s="13"/>
      <c r="G69" s="7">
        <v>33</v>
      </c>
      <c r="H69" s="8">
        <f t="shared" si="25"/>
        <v>0</v>
      </c>
      <c r="I69" s="8"/>
      <c r="J69" s="7">
        <v>12</v>
      </c>
      <c r="K69" s="8">
        <f t="shared" si="26"/>
        <v>0</v>
      </c>
      <c r="N69" s="7" t="s">
        <v>236</v>
      </c>
      <c r="O69" s="8"/>
      <c r="P69" s="7">
        <v>11</v>
      </c>
      <c r="Q69" s="8">
        <f t="shared" si="27"/>
        <v>0</v>
      </c>
      <c r="R69" s="8"/>
      <c r="S69" s="7">
        <v>33</v>
      </c>
      <c r="T69" s="8">
        <f t="shared" si="28"/>
        <v>0</v>
      </c>
      <c r="U69" s="8"/>
      <c r="V69" s="7">
        <v>12</v>
      </c>
      <c r="W69" s="8">
        <f t="shared" si="29"/>
        <v>0</v>
      </c>
    </row>
    <row r="70" spans="2:23">
      <c r="B70" s="7" t="s">
        <v>237</v>
      </c>
      <c r="C70" s="8"/>
      <c r="D70" s="7">
        <v>1</v>
      </c>
      <c r="E70" s="8">
        <f t="shared" si="24"/>
        <v>0</v>
      </c>
      <c r="F70" s="13"/>
      <c r="G70" s="7">
        <v>1</v>
      </c>
      <c r="H70" s="8">
        <f t="shared" si="25"/>
        <v>0</v>
      </c>
      <c r="I70" s="8"/>
      <c r="J70" s="7">
        <v>1</v>
      </c>
      <c r="K70" s="8">
        <f t="shared" si="26"/>
        <v>0</v>
      </c>
      <c r="N70" s="7" t="s">
        <v>237</v>
      </c>
      <c r="O70" s="8"/>
      <c r="P70" s="7">
        <v>1</v>
      </c>
      <c r="Q70" s="8">
        <f t="shared" si="27"/>
        <v>0</v>
      </c>
      <c r="R70" s="8"/>
      <c r="S70" s="7">
        <v>1</v>
      </c>
      <c r="T70" s="8">
        <f t="shared" si="28"/>
        <v>0</v>
      </c>
      <c r="U70" s="8"/>
      <c r="V70" s="7">
        <v>1</v>
      </c>
      <c r="W70" s="8">
        <f t="shared" si="29"/>
        <v>0</v>
      </c>
    </row>
    <row r="71" spans="2:23">
      <c r="B71" s="7" t="s">
        <v>238</v>
      </c>
      <c r="C71" s="8"/>
      <c r="D71" s="7">
        <v>1</v>
      </c>
      <c r="E71" s="8">
        <f t="shared" si="24"/>
        <v>0</v>
      </c>
      <c r="F71" s="13"/>
      <c r="G71" s="7">
        <v>1</v>
      </c>
      <c r="H71" s="8">
        <f t="shared" si="25"/>
        <v>0</v>
      </c>
      <c r="I71" s="8"/>
      <c r="J71" s="7">
        <v>1</v>
      </c>
      <c r="K71" s="8">
        <f t="shared" si="26"/>
        <v>0</v>
      </c>
      <c r="N71" s="7" t="s">
        <v>238</v>
      </c>
      <c r="O71" s="8"/>
      <c r="P71" s="7">
        <v>1</v>
      </c>
      <c r="Q71" s="8">
        <f t="shared" si="27"/>
        <v>0</v>
      </c>
      <c r="R71" s="8"/>
      <c r="S71" s="7">
        <v>1</v>
      </c>
      <c r="T71" s="8">
        <f t="shared" si="28"/>
        <v>0</v>
      </c>
      <c r="U71" s="8"/>
      <c r="V71" s="7">
        <v>1</v>
      </c>
      <c r="W71" s="8">
        <f t="shared" si="29"/>
        <v>0</v>
      </c>
    </row>
    <row r="72" spans="2:23">
      <c r="B72" s="7" t="s">
        <v>239</v>
      </c>
      <c r="C72" s="8"/>
      <c r="D72" s="7">
        <v>1</v>
      </c>
      <c r="E72" s="8">
        <f t="shared" si="24"/>
        <v>0</v>
      </c>
      <c r="F72" s="13"/>
      <c r="G72" s="7">
        <v>1</v>
      </c>
      <c r="H72" s="8">
        <f t="shared" si="25"/>
        <v>0</v>
      </c>
      <c r="I72" s="8"/>
      <c r="J72" s="7">
        <v>1</v>
      </c>
      <c r="K72" s="8">
        <f t="shared" si="26"/>
        <v>0</v>
      </c>
      <c r="N72" s="7" t="s">
        <v>239</v>
      </c>
      <c r="O72" s="8"/>
      <c r="P72" s="7">
        <v>1</v>
      </c>
      <c r="Q72" s="8">
        <f t="shared" si="27"/>
        <v>0</v>
      </c>
      <c r="R72" s="8"/>
      <c r="S72" s="7">
        <v>1</v>
      </c>
      <c r="T72" s="8">
        <f t="shared" si="28"/>
        <v>0</v>
      </c>
      <c r="U72" s="8"/>
      <c r="V72" s="7">
        <v>1</v>
      </c>
      <c r="W72" s="8">
        <f t="shared" si="29"/>
        <v>0</v>
      </c>
    </row>
    <row r="73" spans="2:23">
      <c r="B73" s="7" t="s">
        <v>240</v>
      </c>
      <c r="C73" s="8"/>
      <c r="D73" s="7">
        <v>1</v>
      </c>
      <c r="E73" s="8">
        <f t="shared" si="24"/>
        <v>0</v>
      </c>
      <c r="F73" s="13"/>
      <c r="G73" s="7">
        <v>1</v>
      </c>
      <c r="H73" s="8">
        <f t="shared" si="25"/>
        <v>0</v>
      </c>
      <c r="I73" s="8"/>
      <c r="J73" s="7">
        <v>1</v>
      </c>
      <c r="K73" s="8">
        <f t="shared" si="26"/>
        <v>0</v>
      </c>
      <c r="N73" s="7" t="s">
        <v>240</v>
      </c>
      <c r="O73" s="8"/>
      <c r="P73" s="7">
        <v>1</v>
      </c>
      <c r="Q73" s="8">
        <f t="shared" si="27"/>
        <v>0</v>
      </c>
      <c r="R73" s="8"/>
      <c r="S73" s="7">
        <v>1</v>
      </c>
      <c r="T73" s="8">
        <f t="shared" si="28"/>
        <v>0</v>
      </c>
      <c r="U73" s="8"/>
      <c r="V73" s="7">
        <v>1</v>
      </c>
      <c r="W73" s="8">
        <f t="shared" si="29"/>
        <v>0</v>
      </c>
    </row>
    <row r="74" spans="2:23">
      <c r="B74" s="7" t="s">
        <v>241</v>
      </c>
      <c r="C74" s="8"/>
      <c r="D74" s="7">
        <v>0</v>
      </c>
      <c r="E74" s="8">
        <f t="shared" si="24"/>
        <v>0</v>
      </c>
      <c r="F74" s="13"/>
      <c r="G74" s="7">
        <v>0</v>
      </c>
      <c r="H74" s="8">
        <f t="shared" si="25"/>
        <v>0</v>
      </c>
      <c r="I74" s="8"/>
      <c r="J74" s="7">
        <v>0</v>
      </c>
      <c r="K74" s="8">
        <f t="shared" si="26"/>
        <v>0</v>
      </c>
      <c r="N74" s="7" t="s">
        <v>241</v>
      </c>
      <c r="O74" s="8"/>
      <c r="P74" s="7">
        <v>0</v>
      </c>
      <c r="Q74" s="8">
        <f t="shared" si="27"/>
        <v>0</v>
      </c>
      <c r="R74" s="8"/>
      <c r="S74" s="7">
        <v>0</v>
      </c>
      <c r="T74" s="8">
        <f t="shared" si="28"/>
        <v>0</v>
      </c>
      <c r="U74" s="8"/>
      <c r="V74" s="7">
        <v>0</v>
      </c>
      <c r="W74" s="8">
        <f t="shared" si="29"/>
        <v>0</v>
      </c>
    </row>
    <row r="75" spans="2:23">
      <c r="B75" s="9"/>
      <c r="C75" s="9"/>
      <c r="D75" s="6" t="s">
        <v>48</v>
      </c>
      <c r="E75" s="10">
        <f>SUM(E66:E74)</f>
        <v>0</v>
      </c>
      <c r="F75" s="9"/>
      <c r="G75" s="6" t="s">
        <v>48</v>
      </c>
      <c r="H75" s="10">
        <f>SUM(H66:H74)</f>
        <v>0</v>
      </c>
      <c r="I75" s="10"/>
      <c r="J75" s="6" t="s">
        <v>48</v>
      </c>
      <c r="K75" s="10">
        <f>SUM(K66:K74)</f>
        <v>0</v>
      </c>
      <c r="N75" s="9"/>
      <c r="O75" s="9"/>
      <c r="P75" s="6" t="s">
        <v>48</v>
      </c>
      <c r="Q75" s="10">
        <f>SUM(Q66:Q74)</f>
        <v>0</v>
      </c>
      <c r="R75" s="9"/>
      <c r="S75" s="6" t="s">
        <v>48</v>
      </c>
      <c r="T75" s="15">
        <f>SUM(T66:T74)</f>
        <v>0</v>
      </c>
      <c r="U75" s="9"/>
      <c r="V75" s="6" t="s">
        <v>48</v>
      </c>
      <c r="W75" s="10">
        <f>SUM(W66:W74)</f>
        <v>0</v>
      </c>
    </row>
    <row r="76" spans="2:23">
      <c r="K76" s="14">
        <f>+E75+H75+K75</f>
        <v>0</v>
      </c>
      <c r="W76" s="14">
        <f>+Q75+T75+W75</f>
        <v>0</v>
      </c>
    </row>
    <row r="79" spans="2:23">
      <c r="B79" s="6" t="s">
        <v>205</v>
      </c>
      <c r="C79" s="6" t="s">
        <v>96</v>
      </c>
      <c r="D79" s="268" t="s">
        <v>227</v>
      </c>
      <c r="E79" s="269"/>
      <c r="F79" s="3" t="s">
        <v>230</v>
      </c>
      <c r="G79" s="4"/>
    </row>
    <row r="80" spans="2:23">
      <c r="B80" s="7" t="s">
        <v>4</v>
      </c>
      <c r="C80" s="18">
        <f>K17</f>
        <v>44147357</v>
      </c>
      <c r="D80" s="348">
        <f>+K32</f>
        <v>42957200</v>
      </c>
      <c r="E80" s="349"/>
      <c r="F80" s="20">
        <f>+W32</f>
        <v>42957200</v>
      </c>
      <c r="G80" s="154"/>
    </row>
    <row r="81" spans="2:7">
      <c r="B81" s="7" t="s">
        <v>5</v>
      </c>
      <c r="C81" s="7"/>
      <c r="D81" s="350">
        <f>+K47</f>
        <v>38822125</v>
      </c>
      <c r="E81" s="351"/>
      <c r="F81" s="20">
        <f>+W47</f>
        <v>40322125</v>
      </c>
      <c r="G81" s="154"/>
    </row>
    <row r="82" spans="2:7">
      <c r="B82" s="7" t="s">
        <v>6</v>
      </c>
      <c r="C82" s="7"/>
      <c r="D82" s="352">
        <f>+K61</f>
        <v>35745255.333333336</v>
      </c>
      <c r="E82" s="353"/>
      <c r="F82" s="20">
        <f>+W61</f>
        <v>35745255.333333336</v>
      </c>
      <c r="G82" s="154"/>
    </row>
    <row r="83" spans="2:7">
      <c r="B83" s="7" t="s">
        <v>7</v>
      </c>
      <c r="C83" s="7"/>
      <c r="D83" s="350">
        <f>+K76</f>
        <v>0</v>
      </c>
      <c r="E83" s="351"/>
      <c r="F83" s="20">
        <f>+W76</f>
        <v>0</v>
      </c>
      <c r="G83" s="154"/>
    </row>
    <row r="84" spans="2:7">
      <c r="D84" s="356">
        <f>D80-C80</f>
        <v>-1190157</v>
      </c>
      <c r="E84" s="357"/>
    </row>
    <row r="86" spans="2:7">
      <c r="E86" s="21">
        <f>+D80-D82</f>
        <v>7211944.6666666642</v>
      </c>
    </row>
  </sheetData>
  <mergeCells count="46">
    <mergeCell ref="D83:E83"/>
    <mergeCell ref="D84:E84"/>
    <mergeCell ref="B4:B5"/>
    <mergeCell ref="B20:B21"/>
    <mergeCell ref="B35:B36"/>
    <mergeCell ref="B49:B50"/>
    <mergeCell ref="B64:B65"/>
    <mergeCell ref="U64:W64"/>
    <mergeCell ref="D79:E79"/>
    <mergeCell ref="D80:E80"/>
    <mergeCell ref="D81:E81"/>
    <mergeCell ref="D82:E82"/>
    <mergeCell ref="N64:N65"/>
    <mergeCell ref="C64:E64"/>
    <mergeCell ref="F64:H64"/>
    <mergeCell ref="I64:K64"/>
    <mergeCell ref="O64:Q64"/>
    <mergeCell ref="R64:T64"/>
    <mergeCell ref="U35:W35"/>
    <mergeCell ref="C49:E49"/>
    <mergeCell ref="F49:H49"/>
    <mergeCell ref="I49:K49"/>
    <mergeCell ref="O49:Q49"/>
    <mergeCell ref="R49:T49"/>
    <mergeCell ref="U49:W49"/>
    <mergeCell ref="N35:N36"/>
    <mergeCell ref="N49:N50"/>
    <mergeCell ref="C35:E35"/>
    <mergeCell ref="F35:H35"/>
    <mergeCell ref="I35:K35"/>
    <mergeCell ref="O35:Q35"/>
    <mergeCell ref="R35:T35"/>
    <mergeCell ref="U4:W4"/>
    <mergeCell ref="C20:E20"/>
    <mergeCell ref="F20:H20"/>
    <mergeCell ref="I20:K20"/>
    <mergeCell ref="O20:Q20"/>
    <mergeCell ref="R20:T20"/>
    <mergeCell ref="U20:W20"/>
    <mergeCell ref="N4:N5"/>
    <mergeCell ref="N20:N21"/>
    <mergeCell ref="C4:E4"/>
    <mergeCell ref="F4:H4"/>
    <mergeCell ref="I4:K4"/>
    <mergeCell ref="O4:Q4"/>
    <mergeCell ref="R4:T4"/>
  </mergeCells>
  <pageMargins left="0.7" right="0.7" top="0.75" bottom="0.75" header="0.3" footer="0.3"/>
  <pageSetup paperSize="9" scale="43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C113"/>
  <sheetViews>
    <sheetView showGridLines="0" topLeftCell="A49" zoomScale="85" zoomScaleNormal="85" workbookViewId="0">
      <selection activeCell="C67" sqref="C67:E67"/>
    </sheetView>
  </sheetViews>
  <sheetFormatPr defaultColWidth="9" defaultRowHeight="15"/>
  <cols>
    <col min="2" max="2" width="22.85546875" customWidth="1"/>
    <col min="3" max="3" width="14.5703125" customWidth="1"/>
    <col min="4" max="4" width="8.85546875" customWidth="1"/>
    <col min="5" max="5" width="15.7109375" customWidth="1"/>
    <col min="6" max="6" width="14.5703125" customWidth="1"/>
    <col min="7" max="7" width="8" customWidth="1"/>
    <col min="8" max="8" width="15.7109375" customWidth="1"/>
    <col min="9" max="9" width="14.5703125" customWidth="1"/>
    <col min="10" max="10" width="8.28515625" customWidth="1"/>
    <col min="11" max="12" width="15.7109375" customWidth="1"/>
    <col min="13" max="13" width="9.140625" customWidth="1"/>
    <col min="14" max="14" width="15.7109375" customWidth="1"/>
    <col min="17" max="17" width="22.85546875" customWidth="1"/>
    <col min="18" max="18" width="14.5703125" customWidth="1"/>
    <col min="19" max="19" width="8.85546875" customWidth="1"/>
    <col min="20" max="20" width="15.7109375" customWidth="1"/>
    <col min="21" max="21" width="14.5703125" customWidth="1"/>
    <col min="22" max="22" width="8" customWidth="1"/>
    <col min="23" max="23" width="15.7109375" customWidth="1"/>
    <col min="24" max="24" width="14.5703125" customWidth="1"/>
    <col min="25" max="25" width="8.28515625" customWidth="1"/>
    <col min="26" max="27" width="15.7109375" customWidth="1"/>
    <col min="28" max="28" width="9.140625" customWidth="1"/>
    <col min="29" max="29" width="15.7109375" customWidth="1"/>
  </cols>
  <sheetData>
    <row r="2" spans="2:26">
      <c r="B2" s="22" t="s">
        <v>22</v>
      </c>
    </row>
    <row r="3" spans="2:26" ht="15.75">
      <c r="B3" s="2" t="s">
        <v>227</v>
      </c>
      <c r="C3" t="s">
        <v>248</v>
      </c>
      <c r="F3" t="s">
        <v>249</v>
      </c>
      <c r="I3" t="s">
        <v>248</v>
      </c>
      <c r="L3" t="s">
        <v>250</v>
      </c>
      <c r="Q3" s="2" t="s">
        <v>230</v>
      </c>
    </row>
    <row r="4" spans="2:26">
      <c r="B4" s="354" t="s">
        <v>3</v>
      </c>
      <c r="C4" s="268" t="s">
        <v>10</v>
      </c>
      <c r="D4" s="347"/>
      <c r="E4" s="269"/>
      <c r="F4" s="268" t="s">
        <v>251</v>
      </c>
      <c r="G4" s="347"/>
      <c r="H4" s="269"/>
      <c r="I4" s="268" t="s">
        <v>17</v>
      </c>
      <c r="J4" s="347"/>
      <c r="K4" s="269"/>
      <c r="L4" s="268" t="s">
        <v>252</v>
      </c>
      <c r="M4" s="347"/>
      <c r="N4" s="269"/>
      <c r="Q4" s="354" t="s">
        <v>4</v>
      </c>
      <c r="R4" s="268" t="s">
        <v>10</v>
      </c>
      <c r="S4" s="347"/>
      <c r="T4" s="269"/>
      <c r="U4" s="268" t="s">
        <v>15</v>
      </c>
      <c r="V4" s="347"/>
      <c r="W4" s="269"/>
      <c r="X4" s="268" t="s">
        <v>17</v>
      </c>
      <c r="Y4" s="347"/>
      <c r="Z4" s="269"/>
    </row>
    <row r="5" spans="2:26">
      <c r="B5" s="355"/>
      <c r="C5" s="5" t="s">
        <v>180</v>
      </c>
      <c r="D5" s="6" t="s">
        <v>41</v>
      </c>
      <c r="E5" s="6" t="s">
        <v>44</v>
      </c>
      <c r="F5" s="5" t="s">
        <v>180</v>
      </c>
      <c r="G5" s="6" t="s">
        <v>41</v>
      </c>
      <c r="H5" s="6" t="s">
        <v>44</v>
      </c>
      <c r="I5" s="5" t="s">
        <v>180</v>
      </c>
      <c r="J5" s="6" t="s">
        <v>41</v>
      </c>
      <c r="K5" s="6" t="s">
        <v>44</v>
      </c>
      <c r="L5" s="5" t="s">
        <v>180</v>
      </c>
      <c r="M5" s="6" t="s">
        <v>41</v>
      </c>
      <c r="N5" s="6" t="s">
        <v>44</v>
      </c>
      <c r="Q5" s="355"/>
      <c r="R5" s="5" t="s">
        <v>180</v>
      </c>
      <c r="S5" s="6" t="s">
        <v>41</v>
      </c>
      <c r="T5" s="6" t="s">
        <v>44</v>
      </c>
      <c r="U5" s="5" t="s">
        <v>180</v>
      </c>
      <c r="V5" s="6" t="s">
        <v>41</v>
      </c>
      <c r="W5" s="6" t="s">
        <v>44</v>
      </c>
      <c r="X5" s="5" t="s">
        <v>180</v>
      </c>
      <c r="Y5" s="6" t="s">
        <v>41</v>
      </c>
      <c r="Z5" s="6" t="s">
        <v>44</v>
      </c>
    </row>
    <row r="6" spans="2:26">
      <c r="B6" s="7" t="s">
        <v>233</v>
      </c>
      <c r="C6" s="8">
        <v>30000000</v>
      </c>
      <c r="D6" s="7">
        <v>11</v>
      </c>
      <c r="E6" s="8">
        <f t="shared" ref="E6:E15" si="0">+C6*D6</f>
        <v>330000000</v>
      </c>
      <c r="F6" s="8">
        <v>30000000</v>
      </c>
      <c r="G6" s="7">
        <v>7</v>
      </c>
      <c r="H6" s="8">
        <f t="shared" ref="H6:H15" si="1">+F6*G6</f>
        <v>210000000</v>
      </c>
      <c r="I6" s="8">
        <v>30000000</v>
      </c>
      <c r="J6" s="7">
        <v>7</v>
      </c>
      <c r="K6" s="8">
        <f t="shared" ref="K6:K15" si="2">+I6*J6</f>
        <v>210000000</v>
      </c>
      <c r="L6" s="8">
        <v>30000000</v>
      </c>
      <c r="M6" s="7">
        <v>1</v>
      </c>
      <c r="N6" s="8">
        <f t="shared" ref="N6:N15" si="3">+L6*M6</f>
        <v>30000000</v>
      </c>
      <c r="Q6" s="7" t="s">
        <v>233</v>
      </c>
      <c r="R6" s="8">
        <v>30000000</v>
      </c>
      <c r="S6" s="7">
        <v>1</v>
      </c>
      <c r="T6" s="8">
        <f t="shared" ref="T6:T15" si="4">+R6*S6</f>
        <v>30000000</v>
      </c>
      <c r="U6" s="8"/>
      <c r="V6" s="7"/>
      <c r="W6" s="8">
        <f t="shared" ref="W6:W15" si="5">+U6*V6</f>
        <v>0</v>
      </c>
      <c r="X6" s="8"/>
      <c r="Y6" s="7"/>
      <c r="Z6" s="8">
        <f t="shared" ref="Z6:Z15" si="6">+X6*Y6</f>
        <v>0</v>
      </c>
    </row>
    <row r="7" spans="2:26">
      <c r="B7" s="7" t="s">
        <v>234</v>
      </c>
      <c r="C7" s="8">
        <v>0</v>
      </c>
      <c r="D7" s="7">
        <v>11</v>
      </c>
      <c r="E7" s="8">
        <f t="shared" si="0"/>
        <v>0</v>
      </c>
      <c r="F7" s="8">
        <v>0</v>
      </c>
      <c r="G7" s="7">
        <v>7</v>
      </c>
      <c r="H7" s="8">
        <f t="shared" si="1"/>
        <v>0</v>
      </c>
      <c r="I7" s="8">
        <v>0</v>
      </c>
      <c r="J7" s="7">
        <v>7</v>
      </c>
      <c r="K7" s="8">
        <f t="shared" si="2"/>
        <v>0</v>
      </c>
      <c r="L7" s="8">
        <v>0</v>
      </c>
      <c r="M7" s="7">
        <v>1</v>
      </c>
      <c r="N7" s="8">
        <f t="shared" si="3"/>
        <v>0</v>
      </c>
      <c r="Q7" s="7" t="s">
        <v>234</v>
      </c>
      <c r="R7" s="8">
        <v>0</v>
      </c>
      <c r="S7" s="7">
        <v>1</v>
      </c>
      <c r="T7" s="8">
        <f t="shared" si="4"/>
        <v>0</v>
      </c>
      <c r="U7" s="8"/>
      <c r="V7" s="7"/>
      <c r="W7" s="8">
        <f t="shared" si="5"/>
        <v>0</v>
      </c>
      <c r="X7" s="8"/>
      <c r="Y7" s="7"/>
      <c r="Z7" s="8">
        <f t="shared" si="6"/>
        <v>0</v>
      </c>
    </row>
    <row r="8" spans="2:26">
      <c r="B8" s="7" t="s">
        <v>235</v>
      </c>
      <c r="C8" s="8">
        <v>6000</v>
      </c>
      <c r="D8" s="7">
        <v>0</v>
      </c>
      <c r="E8" s="8">
        <f t="shared" si="0"/>
        <v>0</v>
      </c>
      <c r="F8" s="8">
        <v>6000</v>
      </c>
      <c r="G8" s="7">
        <v>0</v>
      </c>
      <c r="H8" s="8">
        <f t="shared" si="1"/>
        <v>0</v>
      </c>
      <c r="I8" s="8">
        <v>6000</v>
      </c>
      <c r="J8" s="7">
        <v>0</v>
      </c>
      <c r="K8" s="8">
        <f t="shared" si="2"/>
        <v>0</v>
      </c>
      <c r="L8" s="8">
        <v>6000</v>
      </c>
      <c r="M8" s="7">
        <v>0</v>
      </c>
      <c r="N8" s="8">
        <f t="shared" si="3"/>
        <v>0</v>
      </c>
      <c r="Q8" s="7" t="s">
        <v>235</v>
      </c>
      <c r="R8" s="8">
        <v>6000</v>
      </c>
      <c r="S8" s="7">
        <v>0</v>
      </c>
      <c r="T8" s="8">
        <f t="shared" si="4"/>
        <v>0</v>
      </c>
      <c r="U8" s="8"/>
      <c r="V8" s="7"/>
      <c r="W8" s="8">
        <f t="shared" si="5"/>
        <v>0</v>
      </c>
      <c r="X8" s="8"/>
      <c r="Y8" s="7"/>
      <c r="Z8" s="8">
        <f t="shared" si="6"/>
        <v>0</v>
      </c>
    </row>
    <row r="9" spans="2:26">
      <c r="B9" s="7" t="s">
        <v>236</v>
      </c>
      <c r="C9" s="8">
        <v>50000</v>
      </c>
      <c r="D9" s="7">
        <v>177</v>
      </c>
      <c r="E9" s="8">
        <f t="shared" si="0"/>
        <v>8850000</v>
      </c>
      <c r="F9" s="8">
        <v>50000</v>
      </c>
      <c r="G9" s="7">
        <v>218</v>
      </c>
      <c r="H9" s="8">
        <f t="shared" si="1"/>
        <v>10900000</v>
      </c>
      <c r="I9" s="8">
        <v>50000</v>
      </c>
      <c r="J9" s="7">
        <v>137</v>
      </c>
      <c r="K9" s="8">
        <f t="shared" si="2"/>
        <v>6850000</v>
      </c>
      <c r="L9" s="8">
        <v>50000</v>
      </c>
      <c r="M9" s="23">
        <v>62</v>
      </c>
      <c r="N9" s="8">
        <f t="shared" si="3"/>
        <v>3100000</v>
      </c>
      <c r="Q9" s="7" t="s">
        <v>236</v>
      </c>
      <c r="R9" s="8">
        <v>50000</v>
      </c>
      <c r="S9" s="7">
        <v>25</v>
      </c>
      <c r="T9" s="8">
        <f t="shared" si="4"/>
        <v>1250000</v>
      </c>
      <c r="U9" s="8"/>
      <c r="V9" s="7"/>
      <c r="W9" s="8">
        <f t="shared" si="5"/>
        <v>0</v>
      </c>
      <c r="X9" s="8"/>
      <c r="Y9" s="7"/>
      <c r="Z9" s="8">
        <f t="shared" si="6"/>
        <v>0</v>
      </c>
    </row>
    <row r="10" spans="2:26">
      <c r="B10" s="7" t="s">
        <v>237</v>
      </c>
      <c r="C10" s="8">
        <v>1000000</v>
      </c>
      <c r="D10" s="115">
        <v>3</v>
      </c>
      <c r="E10" s="8">
        <f t="shared" si="0"/>
        <v>3000000</v>
      </c>
      <c r="F10" s="8">
        <v>1000000</v>
      </c>
      <c r="G10" s="7">
        <v>1</v>
      </c>
      <c r="H10" s="8">
        <f t="shared" si="1"/>
        <v>1000000</v>
      </c>
      <c r="I10" s="8">
        <v>1000000</v>
      </c>
      <c r="J10" s="7">
        <v>2</v>
      </c>
      <c r="K10" s="8">
        <f t="shared" si="2"/>
        <v>2000000</v>
      </c>
      <c r="L10" s="8">
        <v>1000000</v>
      </c>
      <c r="M10" s="7">
        <v>3</v>
      </c>
      <c r="N10" s="8">
        <f t="shared" si="3"/>
        <v>3000000</v>
      </c>
      <c r="Q10" s="7" t="s">
        <v>237</v>
      </c>
      <c r="R10" s="8">
        <v>1000000</v>
      </c>
      <c r="S10" s="7">
        <v>0.5</v>
      </c>
      <c r="T10" s="8">
        <f t="shared" si="4"/>
        <v>500000</v>
      </c>
      <c r="U10" s="8"/>
      <c r="V10" s="7"/>
      <c r="W10" s="8">
        <f t="shared" si="5"/>
        <v>0</v>
      </c>
      <c r="X10" s="8"/>
      <c r="Y10" s="7"/>
      <c r="Z10" s="8">
        <f t="shared" si="6"/>
        <v>0</v>
      </c>
    </row>
    <row r="11" spans="2:26">
      <c r="B11" s="7" t="s">
        <v>238</v>
      </c>
      <c r="C11" s="8">
        <v>600000</v>
      </c>
      <c r="D11" s="7">
        <v>0</v>
      </c>
      <c r="E11" s="8">
        <f t="shared" si="0"/>
        <v>0</v>
      </c>
      <c r="F11" s="8">
        <v>600000</v>
      </c>
      <c r="G11" s="7">
        <v>0</v>
      </c>
      <c r="H11" s="8">
        <f t="shared" si="1"/>
        <v>0</v>
      </c>
      <c r="I11" s="8">
        <v>600000</v>
      </c>
      <c r="J11" s="7">
        <v>0</v>
      </c>
      <c r="K11" s="8">
        <f t="shared" si="2"/>
        <v>0</v>
      </c>
      <c r="L11" s="8">
        <v>600000</v>
      </c>
      <c r="M11" s="7">
        <v>0</v>
      </c>
      <c r="N11" s="8">
        <f t="shared" si="3"/>
        <v>0</v>
      </c>
      <c r="Q11" s="7" t="s">
        <v>238</v>
      </c>
      <c r="R11" s="8">
        <v>600000</v>
      </c>
      <c r="S11" s="7">
        <v>0</v>
      </c>
      <c r="T11" s="8">
        <f t="shared" si="4"/>
        <v>0</v>
      </c>
      <c r="U11" s="8"/>
      <c r="V11" s="7"/>
      <c r="W11" s="8">
        <f t="shared" si="5"/>
        <v>0</v>
      </c>
      <c r="X11" s="8"/>
      <c r="Y11" s="7"/>
      <c r="Z11" s="8">
        <f t="shared" si="6"/>
        <v>0</v>
      </c>
    </row>
    <row r="12" spans="2:26">
      <c r="B12" s="7" t="s">
        <v>239</v>
      </c>
      <c r="C12" s="8">
        <v>420000</v>
      </c>
      <c r="D12" s="7">
        <v>0</v>
      </c>
      <c r="E12" s="8">
        <f t="shared" si="0"/>
        <v>0</v>
      </c>
      <c r="F12" s="8">
        <v>420000</v>
      </c>
      <c r="G12" s="7">
        <v>0</v>
      </c>
      <c r="H12" s="8">
        <f t="shared" si="1"/>
        <v>0</v>
      </c>
      <c r="I12" s="8">
        <v>420000</v>
      </c>
      <c r="J12" s="7">
        <v>0</v>
      </c>
      <c r="K12" s="8">
        <f t="shared" si="2"/>
        <v>0</v>
      </c>
      <c r="L12" s="8">
        <v>420000</v>
      </c>
      <c r="M12" s="7">
        <v>0</v>
      </c>
      <c r="N12" s="8">
        <f t="shared" si="3"/>
        <v>0</v>
      </c>
      <c r="Q12" s="7" t="s">
        <v>239</v>
      </c>
      <c r="R12" s="8">
        <v>420000</v>
      </c>
      <c r="S12" s="7">
        <v>0</v>
      </c>
      <c r="T12" s="8">
        <f t="shared" si="4"/>
        <v>0</v>
      </c>
      <c r="U12" s="8"/>
      <c r="V12" s="7"/>
      <c r="W12" s="8">
        <f t="shared" si="5"/>
        <v>0</v>
      </c>
      <c r="X12" s="8"/>
      <c r="Y12" s="7"/>
      <c r="Z12" s="8">
        <f t="shared" si="6"/>
        <v>0</v>
      </c>
    </row>
    <row r="13" spans="2:26">
      <c r="B13" s="7" t="s">
        <v>240</v>
      </c>
      <c r="C13" s="8">
        <v>315000</v>
      </c>
      <c r="D13" s="7">
        <v>0</v>
      </c>
      <c r="E13" s="8">
        <f t="shared" si="0"/>
        <v>0</v>
      </c>
      <c r="F13" s="8">
        <v>315000</v>
      </c>
      <c r="G13" s="7">
        <v>0</v>
      </c>
      <c r="H13" s="8">
        <f t="shared" si="1"/>
        <v>0</v>
      </c>
      <c r="I13" s="8">
        <v>315000</v>
      </c>
      <c r="J13" s="7">
        <v>0</v>
      </c>
      <c r="K13" s="8">
        <f t="shared" si="2"/>
        <v>0</v>
      </c>
      <c r="L13" s="8">
        <v>315000</v>
      </c>
      <c r="M13" s="7">
        <v>0</v>
      </c>
      <c r="N13" s="8">
        <f t="shared" si="3"/>
        <v>0</v>
      </c>
      <c r="Q13" s="7" t="s">
        <v>240</v>
      </c>
      <c r="R13" s="8">
        <v>315000</v>
      </c>
      <c r="S13" s="7">
        <v>0</v>
      </c>
      <c r="T13" s="8">
        <f t="shared" si="4"/>
        <v>0</v>
      </c>
      <c r="U13" s="8"/>
      <c r="V13" s="7"/>
      <c r="W13" s="8">
        <f t="shared" si="5"/>
        <v>0</v>
      </c>
      <c r="X13" s="8"/>
      <c r="Y13" s="7"/>
      <c r="Z13" s="8">
        <f t="shared" si="6"/>
        <v>0</v>
      </c>
    </row>
    <row r="14" spans="2:26">
      <c r="B14" s="7" t="s">
        <v>183</v>
      </c>
      <c r="C14" s="8">
        <v>5500</v>
      </c>
      <c r="D14" s="7">
        <v>3</v>
      </c>
      <c r="E14" s="8">
        <f t="shared" si="0"/>
        <v>16500</v>
      </c>
      <c r="F14" s="8">
        <v>5500</v>
      </c>
      <c r="G14" s="8">
        <v>308</v>
      </c>
      <c r="H14" s="8">
        <f t="shared" si="1"/>
        <v>1694000</v>
      </c>
      <c r="I14" s="8">
        <v>5500</v>
      </c>
      <c r="J14" s="8">
        <v>401</v>
      </c>
      <c r="K14" s="8">
        <f t="shared" si="2"/>
        <v>2205500</v>
      </c>
      <c r="L14" s="8">
        <v>5500</v>
      </c>
      <c r="M14" s="8">
        <v>1614</v>
      </c>
      <c r="N14" s="8">
        <f t="shared" si="3"/>
        <v>8877000</v>
      </c>
      <c r="Q14" s="7" t="s">
        <v>183</v>
      </c>
      <c r="R14" s="8">
        <v>5500</v>
      </c>
      <c r="S14" s="7">
        <v>29</v>
      </c>
      <c r="T14" s="8">
        <f t="shared" si="4"/>
        <v>159500</v>
      </c>
      <c r="U14" s="8"/>
      <c r="V14" s="7"/>
      <c r="W14" s="8"/>
      <c r="X14" s="8"/>
      <c r="Y14" s="7"/>
      <c r="Z14" s="8"/>
    </row>
    <row r="15" spans="2:26">
      <c r="B15" s="7" t="s">
        <v>241</v>
      </c>
      <c r="C15" s="8"/>
      <c r="D15" s="7">
        <v>0</v>
      </c>
      <c r="E15" s="8">
        <f t="shared" si="0"/>
        <v>0</v>
      </c>
      <c r="F15" s="8"/>
      <c r="G15" s="7">
        <v>0</v>
      </c>
      <c r="H15" s="8">
        <f t="shared" si="1"/>
        <v>0</v>
      </c>
      <c r="I15" s="8"/>
      <c r="J15" s="7">
        <v>0</v>
      </c>
      <c r="K15" s="8">
        <f t="shared" si="2"/>
        <v>0</v>
      </c>
      <c r="L15" s="8"/>
      <c r="M15" s="7">
        <v>0</v>
      </c>
      <c r="N15" s="8">
        <f t="shared" si="3"/>
        <v>0</v>
      </c>
      <c r="Q15" s="7" t="s">
        <v>241</v>
      </c>
      <c r="R15" s="8"/>
      <c r="S15" s="7">
        <v>0</v>
      </c>
      <c r="T15" s="8">
        <f t="shared" si="4"/>
        <v>0</v>
      </c>
      <c r="U15" s="8"/>
      <c r="V15" s="7"/>
      <c r="W15" s="8">
        <f t="shared" si="5"/>
        <v>0</v>
      </c>
      <c r="X15" s="8"/>
      <c r="Y15" s="7"/>
      <c r="Z15" s="8">
        <f t="shared" si="6"/>
        <v>0</v>
      </c>
    </row>
    <row r="16" spans="2:26" s="1" customFormat="1">
      <c r="B16" s="9"/>
      <c r="C16" s="9"/>
      <c r="D16" s="6" t="s">
        <v>48</v>
      </c>
      <c r="E16" s="116">
        <f>SUM(E6:E15)</f>
        <v>341866500</v>
      </c>
      <c r="F16" s="9"/>
      <c r="G16" s="6" t="s">
        <v>48</v>
      </c>
      <c r="H16" s="116">
        <f>SUM(H6:H15)</f>
        <v>223594000</v>
      </c>
      <c r="I16" s="9"/>
      <c r="J16" s="6" t="s">
        <v>48</v>
      </c>
      <c r="K16" s="116">
        <f>SUM(K6:K15)</f>
        <v>221055500</v>
      </c>
      <c r="L16" s="9"/>
      <c r="M16" s="6" t="s">
        <v>48</v>
      </c>
      <c r="N16" s="116">
        <f>SUM(N6:N15)</f>
        <v>44977000</v>
      </c>
      <c r="Q16" s="9"/>
      <c r="R16" s="9"/>
      <c r="S16" s="6" t="s">
        <v>48</v>
      </c>
      <c r="T16" s="10">
        <f>SUM(T6:T15)</f>
        <v>31909500</v>
      </c>
      <c r="U16" s="9"/>
      <c r="V16" s="6" t="s">
        <v>48</v>
      </c>
      <c r="W16" s="15">
        <f>SUM(W6:W15)</f>
        <v>0</v>
      </c>
      <c r="X16" s="9"/>
      <c r="Y16" s="6" t="s">
        <v>48</v>
      </c>
      <c r="Z16" s="10">
        <f>SUM(Z6:Z15)</f>
        <v>0</v>
      </c>
    </row>
    <row r="17" spans="2:26">
      <c r="E17" s="117"/>
      <c r="F17" s="118"/>
      <c r="G17" s="118"/>
      <c r="H17" s="117"/>
      <c r="K17" s="14"/>
      <c r="L17" s="14"/>
      <c r="M17" s="14" t="s">
        <v>20</v>
      </c>
      <c r="N17" s="14">
        <f>SUM(E16,H16,K16,N16)/SUM(D6,G6,J6,M6)</f>
        <v>31980500</v>
      </c>
      <c r="Q17">
        <v>1481</v>
      </c>
      <c r="R17" s="21">
        <f>+Q17-E33</f>
        <v>-466.35591304347827</v>
      </c>
      <c r="T17" s="125">
        <f>+T16/23000</f>
        <v>1387.3695652173913</v>
      </c>
      <c r="Z17" s="14"/>
    </row>
    <row r="18" spans="2:26" s="25" customFormat="1">
      <c r="E18" s="25">
        <f>+E16/D6</f>
        <v>31078772.727272727</v>
      </c>
      <c r="H18" s="25">
        <f>+H16/G6</f>
        <v>31942000</v>
      </c>
      <c r="K18" s="25">
        <f>+K16/J6</f>
        <v>31579357.142857142</v>
      </c>
      <c r="L18" s="124"/>
      <c r="M18" s="124"/>
      <c r="N18" s="25">
        <f>+N16/M6</f>
        <v>44977000</v>
      </c>
      <c r="Q18" s="25">
        <f>+T17-E33</f>
        <v>-559.98634782608701</v>
      </c>
      <c r="Z18" s="124"/>
    </row>
    <row r="19" spans="2:26">
      <c r="B19" s="24" t="s">
        <v>253</v>
      </c>
      <c r="C19" t="s">
        <v>249</v>
      </c>
      <c r="F19" t="s">
        <v>254</v>
      </c>
      <c r="I19" t="s">
        <v>254</v>
      </c>
      <c r="K19" s="14"/>
      <c r="L19" t="s">
        <v>254</v>
      </c>
      <c r="M19" s="14"/>
      <c r="N19" s="14"/>
      <c r="Z19" s="14"/>
    </row>
    <row r="20" spans="2:26">
      <c r="B20" s="354" t="s">
        <v>4</v>
      </c>
      <c r="C20" s="268" t="s">
        <v>255</v>
      </c>
      <c r="D20" s="347"/>
      <c r="E20" s="269"/>
      <c r="F20" s="268" t="s">
        <v>256</v>
      </c>
      <c r="G20" s="347"/>
      <c r="H20" s="269"/>
      <c r="I20" s="268" t="s">
        <v>257</v>
      </c>
      <c r="J20" s="347"/>
      <c r="K20" s="269"/>
      <c r="L20" s="268" t="s">
        <v>258</v>
      </c>
      <c r="M20" s="347"/>
      <c r="N20" s="269"/>
      <c r="Q20" s="354" t="s">
        <v>4</v>
      </c>
      <c r="R20" s="268" t="s">
        <v>10</v>
      </c>
      <c r="S20" s="347"/>
      <c r="T20" s="269"/>
      <c r="U20" s="268" t="s">
        <v>15</v>
      </c>
      <c r="V20" s="347"/>
      <c r="W20" s="269"/>
      <c r="X20" s="268" t="s">
        <v>17</v>
      </c>
      <c r="Y20" s="347"/>
      <c r="Z20" s="269"/>
    </row>
    <row r="21" spans="2:26">
      <c r="B21" s="355"/>
      <c r="C21" s="5" t="s">
        <v>180</v>
      </c>
      <c r="D21" s="6" t="s">
        <v>41</v>
      </c>
      <c r="E21" s="6" t="s">
        <v>44</v>
      </c>
      <c r="F21" s="5" t="s">
        <v>180</v>
      </c>
      <c r="G21" s="6" t="s">
        <v>41</v>
      </c>
      <c r="H21" s="6" t="s">
        <v>44</v>
      </c>
      <c r="I21" s="5" t="s">
        <v>180</v>
      </c>
      <c r="J21" s="6" t="s">
        <v>41</v>
      </c>
      <c r="K21" s="6" t="s">
        <v>44</v>
      </c>
      <c r="L21" s="5" t="s">
        <v>180</v>
      </c>
      <c r="M21" s="6" t="s">
        <v>41</v>
      </c>
      <c r="N21" s="6" t="s">
        <v>44</v>
      </c>
      <c r="Q21" s="355"/>
      <c r="R21" s="5" t="s">
        <v>180</v>
      </c>
      <c r="S21" s="6" t="s">
        <v>41</v>
      </c>
      <c r="T21" s="6" t="s">
        <v>44</v>
      </c>
      <c r="U21" s="5" t="s">
        <v>180</v>
      </c>
      <c r="V21" s="6" t="s">
        <v>41</v>
      </c>
      <c r="W21" s="6" t="s">
        <v>44</v>
      </c>
      <c r="X21" s="5" t="s">
        <v>180</v>
      </c>
      <c r="Y21" s="6" t="s">
        <v>41</v>
      </c>
      <c r="Z21" s="6" t="s">
        <v>44</v>
      </c>
    </row>
    <row r="22" spans="2:26">
      <c r="B22" s="7" t="s">
        <v>233</v>
      </c>
      <c r="C22" s="8">
        <v>31730000</v>
      </c>
      <c r="D22" s="7">
        <v>1</v>
      </c>
      <c r="E22" s="8">
        <f t="shared" ref="E22:E31" si="7">+C22*D22</f>
        <v>31730000</v>
      </c>
      <c r="F22" s="8">
        <v>24507778</v>
      </c>
      <c r="G22" s="7">
        <v>1</v>
      </c>
      <c r="H22" s="8">
        <f t="shared" ref="H22:H31" si="8">+F22*G22</f>
        <v>24507778</v>
      </c>
      <c r="I22" s="8">
        <v>26000000</v>
      </c>
      <c r="J22" s="7">
        <v>1</v>
      </c>
      <c r="K22" s="8">
        <f t="shared" ref="K22:K31" si="9">+I22*J22</f>
        <v>26000000</v>
      </c>
      <c r="L22" s="8">
        <v>28376848</v>
      </c>
      <c r="M22" s="7">
        <v>1</v>
      </c>
      <c r="N22" s="8">
        <f t="shared" ref="N22:N29" si="10">+L22*M22</f>
        <v>28376848</v>
      </c>
      <c r="Q22" s="7" t="s">
        <v>233</v>
      </c>
      <c r="R22" s="8">
        <v>32657000</v>
      </c>
      <c r="S22" s="7">
        <v>1</v>
      </c>
      <c r="T22" s="8">
        <f t="shared" ref="T22:T31" si="11">+R22*S22</f>
        <v>32657000</v>
      </c>
      <c r="U22" s="8">
        <v>33137000</v>
      </c>
      <c r="V22" s="7">
        <v>1</v>
      </c>
      <c r="W22" s="8">
        <f t="shared" ref="W22:W31" si="12">+U22*V22</f>
        <v>33137000</v>
      </c>
      <c r="X22" s="8">
        <v>33042857.142857101</v>
      </c>
      <c r="Y22" s="7">
        <v>1</v>
      </c>
      <c r="Z22" s="8">
        <f t="shared" ref="Z22:Z31" si="13">+X22*Y22</f>
        <v>33042857.142857101</v>
      </c>
    </row>
    <row r="23" spans="2:26">
      <c r="B23" s="7" t="s">
        <v>234</v>
      </c>
      <c r="C23" s="8">
        <v>10382986</v>
      </c>
      <c r="D23" s="7">
        <v>1</v>
      </c>
      <c r="E23" s="8">
        <f t="shared" si="7"/>
        <v>10382986</v>
      </c>
      <c r="F23" s="8">
        <v>8712660</v>
      </c>
      <c r="G23" s="7">
        <v>1</v>
      </c>
      <c r="H23" s="8">
        <f t="shared" si="8"/>
        <v>8712660</v>
      </c>
      <c r="I23" s="8">
        <v>10129080</v>
      </c>
      <c r="J23" s="7">
        <v>1</v>
      </c>
      <c r="K23" s="8">
        <f t="shared" si="9"/>
        <v>10129080</v>
      </c>
      <c r="L23" s="8">
        <v>8316630</v>
      </c>
      <c r="M23" s="7">
        <v>1</v>
      </c>
      <c r="N23" s="8">
        <f t="shared" si="10"/>
        <v>8316630</v>
      </c>
      <c r="Q23" s="7" t="s">
        <v>234</v>
      </c>
      <c r="R23" s="8">
        <v>7663000</v>
      </c>
      <c r="S23" s="7">
        <v>1</v>
      </c>
      <c r="T23" s="8">
        <f t="shared" si="11"/>
        <v>7663000</v>
      </c>
      <c r="U23" s="8">
        <v>10297000</v>
      </c>
      <c r="V23" s="7">
        <v>1</v>
      </c>
      <c r="W23" s="8">
        <f t="shared" si="12"/>
        <v>10297000</v>
      </c>
      <c r="X23" s="8">
        <v>10297000</v>
      </c>
      <c r="Y23" s="7">
        <v>1</v>
      </c>
      <c r="Z23" s="8">
        <f t="shared" si="13"/>
        <v>10297000</v>
      </c>
    </row>
    <row r="24" spans="2:26">
      <c r="B24" s="7" t="s">
        <v>235</v>
      </c>
      <c r="C24" s="8">
        <v>5300</v>
      </c>
      <c r="D24" s="7">
        <v>0</v>
      </c>
      <c r="E24" s="8">
        <f t="shared" si="7"/>
        <v>0</v>
      </c>
      <c r="F24" s="8">
        <v>6000</v>
      </c>
      <c r="G24" s="7">
        <v>0</v>
      </c>
      <c r="H24" s="8">
        <f t="shared" si="8"/>
        <v>0</v>
      </c>
      <c r="I24" s="8">
        <v>6500</v>
      </c>
      <c r="J24" s="7">
        <v>0</v>
      </c>
      <c r="K24" s="8">
        <f t="shared" si="9"/>
        <v>0</v>
      </c>
      <c r="L24" s="8">
        <v>6500</v>
      </c>
      <c r="M24" s="7">
        <v>0</v>
      </c>
      <c r="N24" s="8">
        <f t="shared" si="10"/>
        <v>0</v>
      </c>
      <c r="Q24" s="7" t="s">
        <v>235</v>
      </c>
      <c r="R24" s="8">
        <v>3800</v>
      </c>
      <c r="S24" s="7">
        <v>0</v>
      </c>
      <c r="T24" s="8">
        <f t="shared" si="11"/>
        <v>0</v>
      </c>
      <c r="U24" s="8">
        <v>3800</v>
      </c>
      <c r="V24" s="7"/>
      <c r="W24" s="8">
        <f t="shared" si="12"/>
        <v>0</v>
      </c>
      <c r="X24" s="8">
        <v>3800</v>
      </c>
      <c r="Y24" s="7">
        <v>0</v>
      </c>
      <c r="Z24" s="8">
        <f t="shared" si="13"/>
        <v>0</v>
      </c>
    </row>
    <row r="25" spans="2:26">
      <c r="B25" s="7" t="s">
        <v>236</v>
      </c>
      <c r="C25" s="8">
        <v>80300</v>
      </c>
      <c r="D25" s="7">
        <v>25</v>
      </c>
      <c r="E25" s="8">
        <f t="shared" si="7"/>
        <v>2007500</v>
      </c>
      <c r="F25" s="8">
        <v>60000</v>
      </c>
      <c r="G25" s="7">
        <v>25</v>
      </c>
      <c r="H25" s="8">
        <f t="shared" si="8"/>
        <v>1500000</v>
      </c>
      <c r="I25" s="8">
        <v>70000</v>
      </c>
      <c r="J25" s="7">
        <v>25</v>
      </c>
      <c r="K25" s="8">
        <f t="shared" si="9"/>
        <v>1750000</v>
      </c>
      <c r="L25" s="8">
        <v>55000</v>
      </c>
      <c r="M25" s="7">
        <v>25</v>
      </c>
      <c r="N25" s="8">
        <f t="shared" si="10"/>
        <v>1375000</v>
      </c>
      <c r="Q25" s="7" t="s">
        <v>236</v>
      </c>
      <c r="R25" s="8">
        <v>80300</v>
      </c>
      <c r="S25" s="7">
        <v>16</v>
      </c>
      <c r="T25" s="8">
        <f t="shared" si="11"/>
        <v>1284800</v>
      </c>
      <c r="U25" s="8">
        <v>80300</v>
      </c>
      <c r="V25" s="7">
        <v>35</v>
      </c>
      <c r="W25" s="8">
        <f t="shared" si="12"/>
        <v>2810500</v>
      </c>
      <c r="X25" s="8">
        <v>80300</v>
      </c>
      <c r="Y25" s="7">
        <v>20</v>
      </c>
      <c r="Z25" s="8">
        <f t="shared" si="13"/>
        <v>1606000</v>
      </c>
    </row>
    <row r="26" spans="2:26">
      <c r="B26" s="7" t="s">
        <v>237</v>
      </c>
      <c r="C26" s="8">
        <v>1030000</v>
      </c>
      <c r="D26" s="7">
        <v>0.5</v>
      </c>
      <c r="E26" s="8">
        <f t="shared" si="7"/>
        <v>515000</v>
      </c>
      <c r="F26" s="8">
        <v>1200000</v>
      </c>
      <c r="G26" s="7">
        <v>0.5</v>
      </c>
      <c r="H26" s="8">
        <f t="shared" si="8"/>
        <v>600000</v>
      </c>
      <c r="I26" s="8">
        <v>1200000</v>
      </c>
      <c r="J26" s="7">
        <v>0.5</v>
      </c>
      <c r="K26" s="8">
        <f t="shared" si="9"/>
        <v>600000</v>
      </c>
      <c r="L26" s="8">
        <v>1100000</v>
      </c>
      <c r="M26" s="7">
        <v>0.5</v>
      </c>
      <c r="N26" s="8">
        <f t="shared" si="10"/>
        <v>550000</v>
      </c>
      <c r="O26">
        <f>M26*950000</f>
        <v>475000</v>
      </c>
      <c r="Q26" s="7" t="s">
        <v>237</v>
      </c>
      <c r="R26" s="8">
        <v>790000</v>
      </c>
      <c r="S26" s="7">
        <v>0.3</v>
      </c>
      <c r="T26" s="8">
        <f t="shared" si="11"/>
        <v>237000</v>
      </c>
      <c r="U26" s="8">
        <v>790000</v>
      </c>
      <c r="V26" s="7">
        <v>0.5</v>
      </c>
      <c r="W26" s="8">
        <f t="shared" si="12"/>
        <v>395000</v>
      </c>
      <c r="X26" s="8">
        <v>790000</v>
      </c>
      <c r="Y26" s="7">
        <v>0.3</v>
      </c>
      <c r="Z26" s="8">
        <f t="shared" si="13"/>
        <v>237000</v>
      </c>
    </row>
    <row r="27" spans="2:26">
      <c r="B27" s="7" t="s">
        <v>238</v>
      </c>
      <c r="C27" s="8">
        <v>515000</v>
      </c>
      <c r="D27" s="7">
        <v>0</v>
      </c>
      <c r="E27" s="8">
        <f t="shared" si="7"/>
        <v>0</v>
      </c>
      <c r="F27" s="8">
        <v>900000</v>
      </c>
      <c r="G27" s="7">
        <v>0</v>
      </c>
      <c r="H27" s="8">
        <f t="shared" si="8"/>
        <v>0</v>
      </c>
      <c r="I27" s="8">
        <v>800000</v>
      </c>
      <c r="J27" s="7">
        <v>0</v>
      </c>
      <c r="K27" s="8">
        <f t="shared" si="9"/>
        <v>0</v>
      </c>
      <c r="L27" s="8">
        <v>850000</v>
      </c>
      <c r="M27" s="7">
        <v>0</v>
      </c>
      <c r="N27" s="8">
        <f t="shared" si="10"/>
        <v>0</v>
      </c>
      <c r="O27" s="21">
        <f>N26-O26</f>
        <v>75000</v>
      </c>
      <c r="Q27" s="7" t="s">
        <v>238</v>
      </c>
      <c r="R27" s="8">
        <v>395000</v>
      </c>
      <c r="S27" s="7">
        <v>0</v>
      </c>
      <c r="T27" s="8">
        <f t="shared" si="11"/>
        <v>0</v>
      </c>
      <c r="U27" s="8">
        <v>395000</v>
      </c>
      <c r="V27" s="7">
        <v>0</v>
      </c>
      <c r="W27" s="8">
        <f t="shared" si="12"/>
        <v>0</v>
      </c>
      <c r="X27" s="8">
        <v>395000</v>
      </c>
      <c r="Y27" s="7">
        <v>0</v>
      </c>
      <c r="Z27" s="8">
        <f t="shared" si="13"/>
        <v>0</v>
      </c>
    </row>
    <row r="28" spans="2:26">
      <c r="B28" s="7" t="s">
        <v>239</v>
      </c>
      <c r="C28" s="8">
        <v>420000</v>
      </c>
      <c r="D28" s="7">
        <v>0</v>
      </c>
      <c r="E28" s="8">
        <f t="shared" si="7"/>
        <v>0</v>
      </c>
      <c r="F28" s="8">
        <v>300000</v>
      </c>
      <c r="G28" s="7">
        <v>0</v>
      </c>
      <c r="H28" s="8">
        <f t="shared" si="8"/>
        <v>0</v>
      </c>
      <c r="I28" s="8">
        <v>400000</v>
      </c>
      <c r="J28" s="7">
        <v>0</v>
      </c>
      <c r="K28" s="8">
        <f t="shared" si="9"/>
        <v>0</v>
      </c>
      <c r="L28" s="8">
        <v>300000</v>
      </c>
      <c r="M28" s="7">
        <v>0</v>
      </c>
      <c r="N28" s="8">
        <f t="shared" si="10"/>
        <v>0</v>
      </c>
      <c r="Q28" s="7" t="s">
        <v>239</v>
      </c>
      <c r="R28" s="8">
        <v>420000</v>
      </c>
      <c r="S28" s="7">
        <v>0</v>
      </c>
      <c r="T28" s="8">
        <f t="shared" si="11"/>
        <v>0</v>
      </c>
      <c r="U28" s="8">
        <v>420000</v>
      </c>
      <c r="V28" s="7">
        <v>0</v>
      </c>
      <c r="W28" s="8">
        <f t="shared" si="12"/>
        <v>0</v>
      </c>
      <c r="X28" s="8">
        <v>420000</v>
      </c>
      <c r="Y28" s="7">
        <v>0</v>
      </c>
      <c r="Z28" s="8">
        <f t="shared" si="13"/>
        <v>0</v>
      </c>
    </row>
    <row r="29" spans="2:26">
      <c r="B29" s="7" t="s">
        <v>240</v>
      </c>
      <c r="C29" s="8">
        <v>315000</v>
      </c>
      <c r="D29" s="7">
        <v>0</v>
      </c>
      <c r="E29" s="8">
        <f t="shared" si="7"/>
        <v>0</v>
      </c>
      <c r="F29" s="8">
        <v>200000</v>
      </c>
      <c r="G29" s="7">
        <v>0</v>
      </c>
      <c r="H29" s="8">
        <f t="shared" si="8"/>
        <v>0</v>
      </c>
      <c r="I29" s="8">
        <v>450000</v>
      </c>
      <c r="J29" s="7">
        <v>0</v>
      </c>
      <c r="K29" s="8">
        <f t="shared" si="9"/>
        <v>0</v>
      </c>
      <c r="L29" s="8">
        <v>500000</v>
      </c>
      <c r="M29" s="7">
        <v>0</v>
      </c>
      <c r="N29" s="8">
        <f t="shared" si="10"/>
        <v>0</v>
      </c>
      <c r="Q29" s="7" t="s">
        <v>240</v>
      </c>
      <c r="R29" s="8">
        <v>450000</v>
      </c>
      <c r="S29" s="7">
        <v>0</v>
      </c>
      <c r="T29" s="8">
        <f t="shared" si="11"/>
        <v>0</v>
      </c>
      <c r="U29" s="8">
        <v>450000</v>
      </c>
      <c r="V29" s="7">
        <v>0</v>
      </c>
      <c r="W29" s="8">
        <f t="shared" si="12"/>
        <v>0</v>
      </c>
      <c r="X29" s="8">
        <v>450000</v>
      </c>
      <c r="Y29" s="7">
        <v>0</v>
      </c>
      <c r="Z29" s="8">
        <f t="shared" si="13"/>
        <v>0</v>
      </c>
    </row>
    <row r="30" spans="2:26">
      <c r="B30" s="7" t="s">
        <v>183</v>
      </c>
      <c r="C30" s="8">
        <v>5300</v>
      </c>
      <c r="D30" s="7">
        <v>29</v>
      </c>
      <c r="E30" s="8">
        <f t="shared" si="7"/>
        <v>153700</v>
      </c>
      <c r="F30" s="8"/>
      <c r="G30" s="7"/>
      <c r="H30" s="8"/>
      <c r="I30" s="8"/>
      <c r="J30" s="7">
        <v>0</v>
      </c>
      <c r="K30" s="8"/>
      <c r="L30" s="8"/>
      <c r="M30" s="7"/>
      <c r="N30" s="8"/>
      <c r="Q30" s="7"/>
      <c r="R30" s="8"/>
      <c r="S30" s="7"/>
      <c r="T30" s="8"/>
      <c r="U30" s="8"/>
      <c r="V30" s="7"/>
      <c r="W30" s="8"/>
      <c r="X30" s="8"/>
      <c r="Y30" s="7"/>
      <c r="Z30" s="8"/>
    </row>
    <row r="31" spans="2:26">
      <c r="B31" s="7" t="s">
        <v>241</v>
      </c>
      <c r="C31" s="8"/>
      <c r="D31" s="7">
        <v>0</v>
      </c>
      <c r="E31" s="8">
        <f t="shared" si="7"/>
        <v>0</v>
      </c>
      <c r="F31" s="8"/>
      <c r="G31" s="7">
        <v>0</v>
      </c>
      <c r="H31" s="8">
        <f t="shared" si="8"/>
        <v>0</v>
      </c>
      <c r="I31" s="8">
        <v>345375</v>
      </c>
      <c r="J31" s="7">
        <v>0</v>
      </c>
      <c r="K31" s="8">
        <f t="shared" si="9"/>
        <v>0</v>
      </c>
      <c r="L31" s="8">
        <v>520000</v>
      </c>
      <c r="M31" s="7">
        <v>0</v>
      </c>
      <c r="N31" s="8">
        <f t="shared" ref="N31" si="14">+L31*M31</f>
        <v>0</v>
      </c>
      <c r="Q31" s="7" t="s">
        <v>241</v>
      </c>
      <c r="R31" s="8">
        <v>240000</v>
      </c>
      <c r="S31" s="7">
        <v>0</v>
      </c>
      <c r="T31" s="8">
        <f t="shared" si="11"/>
        <v>0</v>
      </c>
      <c r="U31" s="8">
        <v>240000</v>
      </c>
      <c r="V31" s="7">
        <v>0</v>
      </c>
      <c r="W31" s="8">
        <f t="shared" si="12"/>
        <v>0</v>
      </c>
      <c r="X31" s="8">
        <v>240000</v>
      </c>
      <c r="Y31" s="7">
        <v>0</v>
      </c>
      <c r="Z31" s="8">
        <f t="shared" si="13"/>
        <v>0</v>
      </c>
    </row>
    <row r="32" spans="2:26" s="1" customFormat="1">
      <c r="B32" s="9"/>
      <c r="C32" s="9"/>
      <c r="D32" s="6" t="s">
        <v>48</v>
      </c>
      <c r="E32" s="116">
        <f>SUM(E22:E31)</f>
        <v>44789186</v>
      </c>
      <c r="F32" s="9"/>
      <c r="G32" s="6" t="s">
        <v>48</v>
      </c>
      <c r="H32" s="10">
        <f>SUM(H22:H31)</f>
        <v>35320438</v>
      </c>
      <c r="I32" s="9"/>
      <c r="J32" s="6" t="s">
        <v>48</v>
      </c>
      <c r="K32" s="10">
        <f>SUM(K22:K31)</f>
        <v>38479080</v>
      </c>
      <c r="L32" s="9"/>
      <c r="M32" s="6" t="s">
        <v>48</v>
      </c>
      <c r="N32" s="10">
        <f>SUM(N22:N31)</f>
        <v>38618478</v>
      </c>
      <c r="Q32" s="9"/>
      <c r="R32" s="9"/>
      <c r="S32" s="6" t="s">
        <v>48</v>
      </c>
      <c r="T32" s="10">
        <f>SUM(T22:T31)</f>
        <v>41841800</v>
      </c>
      <c r="U32" s="9"/>
      <c r="V32" s="6" t="s">
        <v>48</v>
      </c>
      <c r="W32" s="15">
        <f>SUM(W22:W31)</f>
        <v>46639500</v>
      </c>
      <c r="X32" s="9"/>
      <c r="Y32" s="6" t="s">
        <v>48</v>
      </c>
      <c r="Z32" s="10">
        <f>SUM(Z22:Z31)</f>
        <v>45182857.142857105</v>
      </c>
    </row>
    <row r="33" spans="1:29">
      <c r="C33">
        <v>31690000</v>
      </c>
      <c r="E33" s="21">
        <f>+E32/23000</f>
        <v>1947.3559130434783</v>
      </c>
      <c r="J33" t="s">
        <v>98</v>
      </c>
      <c r="K33" s="14">
        <f>K32+1500000</f>
        <v>39979080</v>
      </c>
      <c r="L33" s="14"/>
      <c r="M33" t="s">
        <v>98</v>
      </c>
      <c r="N33" s="14">
        <f>N32-O27</f>
        <v>38543478</v>
      </c>
      <c r="Z33" s="14">
        <f>(T32+W32+Z32)/3</f>
        <v>44554719.047619037</v>
      </c>
    </row>
    <row r="34" spans="1:29">
      <c r="B34" s="119" t="s">
        <v>259</v>
      </c>
      <c r="C34">
        <f>+C33-Xpander!C50</f>
        <v>10016746</v>
      </c>
      <c r="H34" s="21">
        <f>+N48-H32</f>
        <v>8474045.3333333284</v>
      </c>
      <c r="K34" s="14"/>
      <c r="L34" s="14"/>
      <c r="M34" s="14"/>
      <c r="N34" s="14"/>
      <c r="Z34" s="14"/>
    </row>
    <row r="35" spans="1:29">
      <c r="H35">
        <f>+H34/23000</f>
        <v>368.43675362318817</v>
      </c>
    </row>
    <row r="36" spans="1:29">
      <c r="A36" s="24" t="s">
        <v>260</v>
      </c>
      <c r="B36" s="354" t="s">
        <v>4</v>
      </c>
      <c r="C36" s="268" t="s">
        <v>261</v>
      </c>
      <c r="D36" s="347"/>
      <c r="E36" s="269"/>
      <c r="F36" s="268" t="s">
        <v>262</v>
      </c>
      <c r="G36" s="347"/>
      <c r="H36" s="269"/>
      <c r="I36" s="268" t="s">
        <v>263</v>
      </c>
      <c r="J36" s="347"/>
      <c r="K36" s="269"/>
      <c r="L36" s="268" t="s">
        <v>264</v>
      </c>
      <c r="M36" s="347"/>
      <c r="N36" s="269"/>
      <c r="Q36" s="354" t="s">
        <v>4</v>
      </c>
      <c r="R36" s="268" t="s">
        <v>10</v>
      </c>
      <c r="S36" s="347"/>
      <c r="T36" s="269"/>
      <c r="U36" s="268" t="s">
        <v>15</v>
      </c>
      <c r="V36" s="347"/>
      <c r="W36" s="269"/>
      <c r="X36" s="268" t="s">
        <v>17</v>
      </c>
      <c r="Y36" s="347"/>
      <c r="Z36" s="269"/>
      <c r="AA36" s="268" t="s">
        <v>264</v>
      </c>
      <c r="AB36" s="347"/>
      <c r="AC36" s="269"/>
    </row>
    <row r="37" spans="1:29">
      <c r="B37" s="355"/>
      <c r="C37" s="5" t="s">
        <v>180</v>
      </c>
      <c r="D37" s="6" t="s">
        <v>41</v>
      </c>
      <c r="E37" s="6" t="s">
        <v>44</v>
      </c>
      <c r="F37" s="5" t="s">
        <v>180</v>
      </c>
      <c r="G37" s="6" t="s">
        <v>41</v>
      </c>
      <c r="H37" s="6" t="s">
        <v>44</v>
      </c>
      <c r="I37" s="5" t="s">
        <v>180</v>
      </c>
      <c r="J37" s="6" t="s">
        <v>41</v>
      </c>
      <c r="K37" s="6" t="s">
        <v>44</v>
      </c>
      <c r="L37" s="5" t="s">
        <v>180</v>
      </c>
      <c r="M37" s="6" t="s">
        <v>41</v>
      </c>
      <c r="N37" s="6" t="s">
        <v>44</v>
      </c>
      <c r="Q37" s="355"/>
      <c r="R37" s="5" t="s">
        <v>180</v>
      </c>
      <c r="S37" s="6" t="s">
        <v>41</v>
      </c>
      <c r="T37" s="6" t="s">
        <v>44</v>
      </c>
      <c r="U37" s="5" t="s">
        <v>180</v>
      </c>
      <c r="V37" s="6" t="s">
        <v>41</v>
      </c>
      <c r="W37" s="6" t="s">
        <v>44</v>
      </c>
      <c r="X37" s="5" t="s">
        <v>180</v>
      </c>
      <c r="Y37" s="6" t="s">
        <v>41</v>
      </c>
      <c r="Z37" s="6" t="s">
        <v>44</v>
      </c>
      <c r="AA37" s="5" t="s">
        <v>180</v>
      </c>
      <c r="AB37" s="6" t="s">
        <v>41</v>
      </c>
      <c r="AC37" s="6" t="s">
        <v>44</v>
      </c>
    </row>
    <row r="38" spans="1:29">
      <c r="B38" s="7" t="s">
        <v>233</v>
      </c>
      <c r="C38" s="8">
        <v>32657000</v>
      </c>
      <c r="D38" s="7">
        <v>11</v>
      </c>
      <c r="E38" s="8">
        <f t="shared" ref="E38:E46" si="15">+C38*D38</f>
        <v>359227000</v>
      </c>
      <c r="F38" s="8">
        <v>33137000</v>
      </c>
      <c r="G38" s="7">
        <v>7</v>
      </c>
      <c r="H38" s="8">
        <f t="shared" ref="H38:H46" si="16">+F38*G38</f>
        <v>231959000</v>
      </c>
      <c r="I38" s="8">
        <v>33137000</v>
      </c>
      <c r="J38" s="7">
        <v>7</v>
      </c>
      <c r="K38" s="8">
        <f t="shared" ref="K38:K46" si="17">+I38*J38</f>
        <v>231959000</v>
      </c>
      <c r="L38" s="8">
        <v>31819000</v>
      </c>
      <c r="M38" s="7">
        <v>1</v>
      </c>
      <c r="N38" s="8">
        <f t="shared" ref="N38:N46" si="18">+L38*M38</f>
        <v>31819000</v>
      </c>
      <c r="Q38" s="7" t="s">
        <v>233</v>
      </c>
      <c r="R38" s="8">
        <v>32657000</v>
      </c>
      <c r="S38" s="7">
        <v>11</v>
      </c>
      <c r="T38" s="8">
        <f t="shared" ref="T38:T46" si="19">+R38*S38</f>
        <v>359227000</v>
      </c>
      <c r="U38" s="8">
        <v>33137000</v>
      </c>
      <c r="V38" s="7">
        <v>7</v>
      </c>
      <c r="W38" s="8">
        <f t="shared" ref="W38:W46" si="20">+U38*V38</f>
        <v>231959000</v>
      </c>
      <c r="X38" s="8">
        <v>33137000</v>
      </c>
      <c r="Y38" s="7">
        <v>7</v>
      </c>
      <c r="Z38" s="8">
        <f t="shared" ref="Z38:Z46" si="21">+X38*Y38</f>
        <v>231959000</v>
      </c>
      <c r="AA38" s="8">
        <v>31819000</v>
      </c>
      <c r="AB38" s="7">
        <v>1</v>
      </c>
      <c r="AC38" s="8">
        <f t="shared" ref="AC38:AC46" si="22">+AA38*AB38</f>
        <v>31819000</v>
      </c>
    </row>
    <row r="39" spans="1:29">
      <c r="B39" s="7" t="s">
        <v>234</v>
      </c>
      <c r="C39" s="8">
        <v>7663000</v>
      </c>
      <c r="D39" s="7">
        <v>11</v>
      </c>
      <c r="E39" s="8">
        <f t="shared" si="15"/>
        <v>84293000</v>
      </c>
      <c r="F39" s="8">
        <v>10297000</v>
      </c>
      <c r="G39" s="7">
        <v>7</v>
      </c>
      <c r="H39" s="8">
        <f t="shared" si="16"/>
        <v>72079000</v>
      </c>
      <c r="I39" s="8">
        <v>10297000</v>
      </c>
      <c r="J39" s="7">
        <v>7</v>
      </c>
      <c r="K39" s="8">
        <f t="shared" si="17"/>
        <v>72079000</v>
      </c>
      <c r="L39" s="8">
        <v>10297000</v>
      </c>
      <c r="M39" s="7">
        <v>1</v>
      </c>
      <c r="N39" s="8">
        <f t="shared" si="18"/>
        <v>10297000</v>
      </c>
      <c r="Q39" s="7" t="s">
        <v>234</v>
      </c>
      <c r="R39" s="8">
        <v>7663000</v>
      </c>
      <c r="S39" s="7">
        <v>11</v>
      </c>
      <c r="T39" s="8">
        <f t="shared" si="19"/>
        <v>84293000</v>
      </c>
      <c r="U39" s="8">
        <v>10297000</v>
      </c>
      <c r="V39" s="7">
        <v>7</v>
      </c>
      <c r="W39" s="8">
        <f t="shared" si="20"/>
        <v>72079000</v>
      </c>
      <c r="X39" s="8">
        <v>10297000</v>
      </c>
      <c r="Y39" s="7">
        <v>7</v>
      </c>
      <c r="Z39" s="8">
        <f t="shared" si="21"/>
        <v>72079000</v>
      </c>
      <c r="AA39" s="8">
        <v>10297000</v>
      </c>
      <c r="AB39" s="7">
        <v>1</v>
      </c>
      <c r="AC39" s="8">
        <f t="shared" si="22"/>
        <v>10297000</v>
      </c>
    </row>
    <row r="40" spans="1:29">
      <c r="B40" s="7" t="s">
        <v>235</v>
      </c>
      <c r="C40" s="8">
        <v>6200</v>
      </c>
      <c r="D40" s="7">
        <v>0</v>
      </c>
      <c r="E40" s="8">
        <f t="shared" si="15"/>
        <v>0</v>
      </c>
      <c r="F40" s="8">
        <v>6200</v>
      </c>
      <c r="G40" s="7">
        <v>0</v>
      </c>
      <c r="H40" s="8">
        <f t="shared" si="16"/>
        <v>0</v>
      </c>
      <c r="I40" s="8">
        <v>6200</v>
      </c>
      <c r="J40" s="7">
        <v>0</v>
      </c>
      <c r="K40" s="8">
        <f t="shared" si="17"/>
        <v>0</v>
      </c>
      <c r="L40" s="8">
        <v>6200</v>
      </c>
      <c r="M40" s="7">
        <v>0</v>
      </c>
      <c r="N40" s="8">
        <f t="shared" si="18"/>
        <v>0</v>
      </c>
      <c r="Q40" s="7" t="s">
        <v>235</v>
      </c>
      <c r="R40" s="8">
        <v>3800</v>
      </c>
      <c r="S40" s="7">
        <v>0</v>
      </c>
      <c r="T40" s="8">
        <f t="shared" si="19"/>
        <v>0</v>
      </c>
      <c r="U40" s="8">
        <v>3800</v>
      </c>
      <c r="V40" s="7">
        <v>0</v>
      </c>
      <c r="W40" s="8">
        <f t="shared" si="20"/>
        <v>0</v>
      </c>
      <c r="X40" s="8">
        <v>3800</v>
      </c>
      <c r="Y40" s="7">
        <v>0</v>
      </c>
      <c r="Z40" s="8">
        <f t="shared" si="21"/>
        <v>0</v>
      </c>
      <c r="AA40" s="8">
        <v>3800</v>
      </c>
      <c r="AB40" s="7">
        <v>0</v>
      </c>
      <c r="AC40" s="8">
        <f t="shared" si="22"/>
        <v>0</v>
      </c>
    </row>
    <row r="41" spans="1:29">
      <c r="B41" s="7" t="s">
        <v>236</v>
      </c>
      <c r="C41" s="8">
        <v>80300</v>
      </c>
      <c r="D41" s="7">
        <v>155</v>
      </c>
      <c r="E41" s="8">
        <f t="shared" si="15"/>
        <v>12446500</v>
      </c>
      <c r="F41" s="8">
        <v>80300</v>
      </c>
      <c r="G41" s="7">
        <v>174</v>
      </c>
      <c r="H41" s="8">
        <f t="shared" si="16"/>
        <v>13972200</v>
      </c>
      <c r="I41" s="8">
        <v>80300</v>
      </c>
      <c r="J41" s="7">
        <v>122.333333333333</v>
      </c>
      <c r="K41" s="8">
        <f t="shared" si="17"/>
        <v>9823366.66666664</v>
      </c>
      <c r="L41" s="8">
        <v>80300</v>
      </c>
      <c r="M41" s="7">
        <v>25</v>
      </c>
      <c r="N41" s="8">
        <f t="shared" si="18"/>
        <v>2007500</v>
      </c>
      <c r="Q41" s="7" t="s">
        <v>236</v>
      </c>
      <c r="R41" s="8">
        <v>80300</v>
      </c>
      <c r="S41" s="7">
        <v>155</v>
      </c>
      <c r="T41" s="8">
        <f t="shared" si="19"/>
        <v>12446500</v>
      </c>
      <c r="U41" s="8">
        <v>80300</v>
      </c>
      <c r="V41" s="7">
        <v>174</v>
      </c>
      <c r="W41" s="8">
        <f t="shared" si="20"/>
        <v>13972200</v>
      </c>
      <c r="X41" s="8">
        <v>80300</v>
      </c>
      <c r="Y41" s="7">
        <v>122.333333333333</v>
      </c>
      <c r="Z41" s="8">
        <f t="shared" si="21"/>
        <v>9823366.66666664</v>
      </c>
      <c r="AA41" s="8">
        <v>80300</v>
      </c>
      <c r="AB41" s="7">
        <v>25</v>
      </c>
      <c r="AC41" s="8">
        <f t="shared" si="22"/>
        <v>2007500</v>
      </c>
    </row>
    <row r="42" spans="1:29">
      <c r="B42" s="7" t="s">
        <v>237</v>
      </c>
      <c r="C42" s="8">
        <v>1030000</v>
      </c>
      <c r="D42" s="7">
        <v>3</v>
      </c>
      <c r="E42" s="8">
        <f t="shared" si="15"/>
        <v>3090000</v>
      </c>
      <c r="F42" s="8">
        <v>1030000</v>
      </c>
      <c r="G42" s="7">
        <v>1</v>
      </c>
      <c r="H42" s="8">
        <f t="shared" si="16"/>
        <v>1030000</v>
      </c>
      <c r="I42" s="8">
        <v>1030000</v>
      </c>
      <c r="J42" s="7">
        <v>2</v>
      </c>
      <c r="K42" s="8">
        <f t="shared" si="17"/>
        <v>2060000</v>
      </c>
      <c r="L42" s="8">
        <v>1030000</v>
      </c>
      <c r="M42" s="7">
        <v>0.5</v>
      </c>
      <c r="N42" s="8">
        <f t="shared" si="18"/>
        <v>515000</v>
      </c>
      <c r="Q42" s="7" t="s">
        <v>237</v>
      </c>
      <c r="R42" s="8">
        <v>790000</v>
      </c>
      <c r="S42" s="7">
        <v>3</v>
      </c>
      <c r="T42" s="8">
        <f t="shared" si="19"/>
        <v>2370000</v>
      </c>
      <c r="U42" s="8">
        <v>790000</v>
      </c>
      <c r="V42" s="7">
        <v>1</v>
      </c>
      <c r="W42" s="8">
        <f t="shared" si="20"/>
        <v>790000</v>
      </c>
      <c r="X42" s="8">
        <v>790000</v>
      </c>
      <c r="Y42" s="7">
        <v>2</v>
      </c>
      <c r="Z42" s="8">
        <f t="shared" si="21"/>
        <v>1580000</v>
      </c>
      <c r="AA42" s="8">
        <v>790000</v>
      </c>
      <c r="AB42" s="7">
        <v>0.5</v>
      </c>
      <c r="AC42" s="8">
        <f t="shared" si="22"/>
        <v>395000</v>
      </c>
    </row>
    <row r="43" spans="1:29">
      <c r="B43" s="7" t="s">
        <v>238</v>
      </c>
      <c r="C43" s="8">
        <v>515000</v>
      </c>
      <c r="D43" s="7">
        <v>0</v>
      </c>
      <c r="E43" s="8">
        <f t="shared" si="15"/>
        <v>0</v>
      </c>
      <c r="F43" s="8">
        <v>515000</v>
      </c>
      <c r="G43" s="7">
        <v>0</v>
      </c>
      <c r="H43" s="8">
        <f t="shared" si="16"/>
        <v>0</v>
      </c>
      <c r="I43" s="8">
        <v>515000</v>
      </c>
      <c r="J43" s="7">
        <v>0</v>
      </c>
      <c r="K43" s="8">
        <f t="shared" si="17"/>
        <v>0</v>
      </c>
      <c r="L43" s="8">
        <v>515000</v>
      </c>
      <c r="M43" s="7">
        <v>0</v>
      </c>
      <c r="N43" s="8">
        <f t="shared" si="18"/>
        <v>0</v>
      </c>
      <c r="Q43" s="7" t="s">
        <v>238</v>
      </c>
      <c r="R43" s="8">
        <v>395000</v>
      </c>
      <c r="S43" s="7">
        <v>0</v>
      </c>
      <c r="T43" s="8">
        <f t="shared" si="19"/>
        <v>0</v>
      </c>
      <c r="U43" s="8">
        <v>395000</v>
      </c>
      <c r="V43" s="7">
        <v>0</v>
      </c>
      <c r="W43" s="8">
        <f t="shared" si="20"/>
        <v>0</v>
      </c>
      <c r="X43" s="8">
        <v>395000</v>
      </c>
      <c r="Y43" s="7">
        <v>0</v>
      </c>
      <c r="Z43" s="8">
        <f t="shared" si="21"/>
        <v>0</v>
      </c>
      <c r="AA43" s="8">
        <v>395000</v>
      </c>
      <c r="AB43" s="7">
        <v>0</v>
      </c>
      <c r="AC43" s="8">
        <f t="shared" si="22"/>
        <v>0</v>
      </c>
    </row>
    <row r="44" spans="1:29">
      <c r="B44" s="7" t="s">
        <v>239</v>
      </c>
      <c r="C44" s="8">
        <v>420000</v>
      </c>
      <c r="D44" s="7">
        <v>0</v>
      </c>
      <c r="E44" s="8">
        <f t="shared" si="15"/>
        <v>0</v>
      </c>
      <c r="F44" s="8">
        <v>420000</v>
      </c>
      <c r="G44" s="7">
        <v>0</v>
      </c>
      <c r="H44" s="8">
        <f t="shared" si="16"/>
        <v>0</v>
      </c>
      <c r="I44" s="8">
        <v>420000</v>
      </c>
      <c r="J44" s="7">
        <v>0</v>
      </c>
      <c r="K44" s="8">
        <f t="shared" si="17"/>
        <v>0</v>
      </c>
      <c r="L44" s="8">
        <v>420000</v>
      </c>
      <c r="M44" s="7">
        <v>0</v>
      </c>
      <c r="N44" s="8">
        <f t="shared" si="18"/>
        <v>0</v>
      </c>
      <c r="Q44" s="7" t="s">
        <v>239</v>
      </c>
      <c r="R44" s="8">
        <v>420000</v>
      </c>
      <c r="S44" s="7">
        <v>0</v>
      </c>
      <c r="T44" s="8">
        <f t="shared" si="19"/>
        <v>0</v>
      </c>
      <c r="U44" s="8">
        <v>420000</v>
      </c>
      <c r="V44" s="7">
        <v>0</v>
      </c>
      <c r="W44" s="8">
        <f t="shared" si="20"/>
        <v>0</v>
      </c>
      <c r="X44" s="8">
        <v>420000</v>
      </c>
      <c r="Y44" s="7">
        <v>0</v>
      </c>
      <c r="Z44" s="8">
        <f t="shared" si="21"/>
        <v>0</v>
      </c>
      <c r="AA44" s="8">
        <v>420000</v>
      </c>
      <c r="AB44" s="7">
        <v>0</v>
      </c>
      <c r="AC44" s="8">
        <f t="shared" si="22"/>
        <v>0</v>
      </c>
    </row>
    <row r="45" spans="1:29">
      <c r="B45" s="7" t="s">
        <v>240</v>
      </c>
      <c r="C45" s="8">
        <v>315000</v>
      </c>
      <c r="D45" s="7">
        <v>0</v>
      </c>
      <c r="E45" s="8">
        <f t="shared" si="15"/>
        <v>0</v>
      </c>
      <c r="F45" s="8">
        <v>315000</v>
      </c>
      <c r="G45" s="7">
        <v>0</v>
      </c>
      <c r="H45" s="8">
        <f t="shared" si="16"/>
        <v>0</v>
      </c>
      <c r="I45" s="8">
        <v>315000</v>
      </c>
      <c r="J45" s="7">
        <v>0</v>
      </c>
      <c r="K45" s="8">
        <f t="shared" si="17"/>
        <v>0</v>
      </c>
      <c r="L45" s="8">
        <v>315000</v>
      </c>
      <c r="M45" s="7">
        <v>0</v>
      </c>
      <c r="N45" s="8">
        <f t="shared" si="18"/>
        <v>0</v>
      </c>
      <c r="Q45" s="7" t="s">
        <v>240</v>
      </c>
      <c r="R45" s="8">
        <v>315000</v>
      </c>
      <c r="S45" s="7">
        <v>0</v>
      </c>
      <c r="T45" s="8">
        <f t="shared" si="19"/>
        <v>0</v>
      </c>
      <c r="U45" s="8">
        <v>315000</v>
      </c>
      <c r="V45" s="7">
        <v>0</v>
      </c>
      <c r="W45" s="8">
        <f t="shared" si="20"/>
        <v>0</v>
      </c>
      <c r="X45" s="8">
        <v>315000</v>
      </c>
      <c r="Y45" s="7">
        <v>0</v>
      </c>
      <c r="Z45" s="8">
        <f t="shared" si="21"/>
        <v>0</v>
      </c>
      <c r="AA45" s="8">
        <v>315000</v>
      </c>
      <c r="AB45" s="7">
        <v>0</v>
      </c>
      <c r="AC45" s="8">
        <f t="shared" si="22"/>
        <v>0</v>
      </c>
    </row>
    <row r="46" spans="1:29">
      <c r="B46" s="7" t="s">
        <v>241</v>
      </c>
      <c r="C46" s="8">
        <v>240000</v>
      </c>
      <c r="D46" s="7">
        <v>0</v>
      </c>
      <c r="E46" s="8">
        <f t="shared" si="15"/>
        <v>0</v>
      </c>
      <c r="F46" s="8">
        <v>240000</v>
      </c>
      <c r="G46" s="7">
        <v>0</v>
      </c>
      <c r="H46" s="8">
        <f t="shared" si="16"/>
        <v>0</v>
      </c>
      <c r="I46" s="8">
        <v>240000</v>
      </c>
      <c r="J46" s="7">
        <v>0</v>
      </c>
      <c r="K46" s="8">
        <f t="shared" si="17"/>
        <v>0</v>
      </c>
      <c r="L46" s="8">
        <v>240000</v>
      </c>
      <c r="M46" s="7">
        <v>0</v>
      </c>
      <c r="N46" s="8">
        <f t="shared" si="18"/>
        <v>0</v>
      </c>
      <c r="Q46" s="7" t="s">
        <v>241</v>
      </c>
      <c r="R46" s="8">
        <v>240000</v>
      </c>
      <c r="S46" s="7">
        <v>0</v>
      </c>
      <c r="T46" s="8">
        <f t="shared" si="19"/>
        <v>0</v>
      </c>
      <c r="U46" s="8">
        <v>240000</v>
      </c>
      <c r="V46" s="7">
        <v>0</v>
      </c>
      <c r="W46" s="8">
        <f t="shared" si="20"/>
        <v>0</v>
      </c>
      <c r="X46" s="8">
        <v>240000</v>
      </c>
      <c r="Y46" s="7">
        <v>0</v>
      </c>
      <c r="Z46" s="8">
        <f t="shared" si="21"/>
        <v>0</v>
      </c>
      <c r="AA46" s="8">
        <v>240000</v>
      </c>
      <c r="AB46" s="7">
        <v>0</v>
      </c>
      <c r="AC46" s="8">
        <f t="shared" si="22"/>
        <v>0</v>
      </c>
    </row>
    <row r="47" spans="1:29" s="1" customFormat="1">
      <c r="B47" s="9"/>
      <c r="C47" s="9"/>
      <c r="D47" s="6" t="s">
        <v>48</v>
      </c>
      <c r="E47" s="10">
        <f>SUM(E38:E46)</f>
        <v>459056500</v>
      </c>
      <c r="F47" s="9"/>
      <c r="G47" s="6" t="s">
        <v>48</v>
      </c>
      <c r="H47" s="10">
        <f>SUM(H38:H46)</f>
        <v>319040200</v>
      </c>
      <c r="I47" s="9"/>
      <c r="J47" s="6" t="s">
        <v>48</v>
      </c>
      <c r="K47" s="10">
        <f>SUM(K38:K46)</f>
        <v>315921366.66666663</v>
      </c>
      <c r="L47" s="9"/>
      <c r="M47" s="6" t="s">
        <v>48</v>
      </c>
      <c r="N47" s="10">
        <f>SUM(N38:N46)</f>
        <v>44638500</v>
      </c>
      <c r="Q47" s="9"/>
      <c r="R47" s="9"/>
      <c r="S47" s="6" t="s">
        <v>48</v>
      </c>
      <c r="T47" s="10">
        <f>SUM(T38:T46)</f>
        <v>458336500</v>
      </c>
      <c r="U47" s="9"/>
      <c r="V47" s="6" t="s">
        <v>48</v>
      </c>
      <c r="W47" s="15">
        <f>SUM(W38:W46)</f>
        <v>318800200</v>
      </c>
      <c r="X47" s="9"/>
      <c r="Y47" s="6" t="s">
        <v>48</v>
      </c>
      <c r="Z47" s="10">
        <f>SUM(Z38:Z46)</f>
        <v>315441366.66666663</v>
      </c>
      <c r="AA47" s="9"/>
      <c r="AB47" s="6" t="s">
        <v>48</v>
      </c>
      <c r="AC47" s="10">
        <f>SUM(AC38:AC46)</f>
        <v>44518500</v>
      </c>
    </row>
    <row r="48" spans="1:29" s="1" customFormat="1">
      <c r="B48" s="120"/>
      <c r="C48" s="120"/>
      <c r="D48" s="121"/>
      <c r="E48" s="21">
        <f>E47/D38</f>
        <v>41732409.090909094</v>
      </c>
      <c r="F48" s="120"/>
      <c r="G48" s="121"/>
      <c r="H48" s="21">
        <f>H47/G38</f>
        <v>45577171.428571425</v>
      </c>
      <c r="I48" s="120"/>
      <c r="J48" s="121"/>
      <c r="K48" s="21">
        <f>K47/J38</f>
        <v>45131623.809523806</v>
      </c>
      <c r="L48" s="120"/>
      <c r="M48" s="14" t="s">
        <v>20</v>
      </c>
      <c r="N48" s="14">
        <f>+(E47+H47+K47+N47)/(D38+G38+J38+M38)</f>
        <v>43794483.333333328</v>
      </c>
      <c r="Q48" s="120"/>
      <c r="R48" s="120"/>
      <c r="S48" s="121"/>
      <c r="T48" s="122"/>
      <c r="U48" s="120"/>
      <c r="V48" s="121"/>
      <c r="W48" s="126"/>
      <c r="X48" s="120"/>
      <c r="Z48" s="122"/>
      <c r="AB48" s="14" t="s">
        <v>20</v>
      </c>
      <c r="AC48" s="14">
        <f>+(T47+W47+Z47+AC47)/(S39+V39+Y39+AB39)</f>
        <v>43734483.333333328</v>
      </c>
    </row>
    <row r="49" spans="1:29" s="1" customFormat="1">
      <c r="B49" s="120"/>
      <c r="C49" s="120"/>
      <c r="D49" s="121"/>
      <c r="E49" s="122"/>
      <c r="F49" s="120"/>
      <c r="G49" s="121"/>
      <c r="H49" s="122"/>
      <c r="I49" s="120"/>
      <c r="J49" s="121"/>
      <c r="K49" s="122"/>
      <c r="L49" s="120"/>
      <c r="M49" s="121"/>
      <c r="N49" s="122"/>
      <c r="Q49" s="120"/>
      <c r="R49" s="120"/>
      <c r="S49" s="121"/>
      <c r="T49" s="122"/>
      <c r="U49" s="120"/>
      <c r="V49" s="121"/>
      <c r="W49" s="126"/>
      <c r="X49" s="120"/>
      <c r="Y49" s="121"/>
      <c r="Z49" s="122"/>
    </row>
    <row r="51" spans="1:29">
      <c r="A51" s="24"/>
      <c r="B51" s="354" t="s">
        <v>5</v>
      </c>
      <c r="C51" s="268" t="s">
        <v>10</v>
      </c>
      <c r="D51" s="347"/>
      <c r="E51" s="269"/>
      <c r="F51" s="268" t="s">
        <v>251</v>
      </c>
      <c r="G51" s="347"/>
      <c r="H51" s="269"/>
      <c r="I51" s="268" t="s">
        <v>17</v>
      </c>
      <c r="J51" s="347"/>
      <c r="K51" s="269"/>
      <c r="L51" s="268" t="s">
        <v>252</v>
      </c>
      <c r="M51" s="347"/>
      <c r="N51" s="269"/>
      <c r="Q51" s="354" t="s">
        <v>5</v>
      </c>
      <c r="R51" s="268" t="s">
        <v>10</v>
      </c>
      <c r="S51" s="347"/>
      <c r="T51" s="269"/>
      <c r="U51" s="268" t="s">
        <v>15</v>
      </c>
      <c r="V51" s="347"/>
      <c r="W51" s="269"/>
      <c r="X51" s="268" t="s">
        <v>17</v>
      </c>
      <c r="Y51" s="347"/>
      <c r="Z51" s="269"/>
      <c r="AA51" s="268" t="s">
        <v>252</v>
      </c>
      <c r="AB51" s="347"/>
      <c r="AC51" s="269"/>
    </row>
    <row r="52" spans="1:29">
      <c r="A52" s="24"/>
      <c r="B52" s="355"/>
      <c r="C52" s="5" t="s">
        <v>180</v>
      </c>
      <c r="D52" s="6" t="s">
        <v>41</v>
      </c>
      <c r="E52" s="6" t="s">
        <v>44</v>
      </c>
      <c r="F52" s="5" t="s">
        <v>180</v>
      </c>
      <c r="G52" s="6" t="s">
        <v>41</v>
      </c>
      <c r="H52" s="6" t="s">
        <v>44</v>
      </c>
      <c r="I52" s="5" t="s">
        <v>180</v>
      </c>
      <c r="J52" s="6" t="s">
        <v>41</v>
      </c>
      <c r="K52" s="6" t="s">
        <v>44</v>
      </c>
      <c r="L52" s="5" t="s">
        <v>180</v>
      </c>
      <c r="M52" s="6" t="s">
        <v>41</v>
      </c>
      <c r="N52" s="6" t="s">
        <v>44</v>
      </c>
      <c r="Q52" s="355"/>
      <c r="R52" s="5" t="s">
        <v>180</v>
      </c>
      <c r="S52" s="6" t="s">
        <v>41</v>
      </c>
      <c r="T52" s="6" t="s">
        <v>44</v>
      </c>
      <c r="U52" s="5" t="s">
        <v>180</v>
      </c>
      <c r="V52" s="6" t="s">
        <v>41</v>
      </c>
      <c r="W52" s="6" t="s">
        <v>44</v>
      </c>
      <c r="X52" s="5" t="s">
        <v>180</v>
      </c>
      <c r="Y52" s="6" t="s">
        <v>41</v>
      </c>
      <c r="Z52" s="6" t="s">
        <v>44</v>
      </c>
      <c r="AA52" s="5" t="s">
        <v>180</v>
      </c>
      <c r="AB52" s="6" t="s">
        <v>41</v>
      </c>
      <c r="AC52" s="6" t="s">
        <v>44</v>
      </c>
    </row>
    <row r="53" spans="1:29">
      <c r="B53" s="7" t="s">
        <v>233</v>
      </c>
      <c r="C53" s="8">
        <v>25300000</v>
      </c>
      <c r="D53" s="7">
        <v>11</v>
      </c>
      <c r="E53" s="8">
        <f t="shared" ref="E53:E61" si="23">+C53*D53</f>
        <v>278300000</v>
      </c>
      <c r="F53" s="8">
        <v>26000000</v>
      </c>
      <c r="G53" s="7">
        <v>7</v>
      </c>
      <c r="H53" s="8">
        <f t="shared" ref="H53:H61" si="24">+F53*G53</f>
        <v>182000000</v>
      </c>
      <c r="I53" s="8">
        <v>26000000</v>
      </c>
      <c r="J53" s="7">
        <v>7</v>
      </c>
      <c r="K53" s="8">
        <f t="shared" ref="K53:K61" si="25">+I53*J53</f>
        <v>182000000</v>
      </c>
      <c r="L53" s="8">
        <v>27200000</v>
      </c>
      <c r="M53" s="7">
        <v>1</v>
      </c>
      <c r="N53" s="8">
        <f t="shared" ref="N53:N61" si="26">+L53*M53</f>
        <v>27200000</v>
      </c>
      <c r="Q53" s="7" t="s">
        <v>233</v>
      </c>
      <c r="R53" s="8">
        <v>26800000</v>
      </c>
      <c r="S53" s="7">
        <v>11</v>
      </c>
      <c r="T53" s="8">
        <f t="shared" ref="T53:T61" si="27">+R53*S53</f>
        <v>294800000</v>
      </c>
      <c r="U53" s="8">
        <v>27500000</v>
      </c>
      <c r="V53" s="7">
        <v>7</v>
      </c>
      <c r="W53" s="8">
        <f t="shared" ref="W53:W61" si="28">+U53*V53</f>
        <v>192500000</v>
      </c>
      <c r="X53" s="8">
        <v>27500000</v>
      </c>
      <c r="Y53" s="7">
        <v>7</v>
      </c>
      <c r="Z53" s="8">
        <f t="shared" ref="Z53:Z61" si="29">+X53*Y53</f>
        <v>192500000</v>
      </c>
      <c r="AA53" s="8">
        <v>28700000</v>
      </c>
      <c r="AB53" s="7">
        <v>1</v>
      </c>
      <c r="AC53" s="8">
        <f>+AA53*AB53</f>
        <v>28700000</v>
      </c>
    </row>
    <row r="54" spans="1:29">
      <c r="B54" s="7" t="s">
        <v>234</v>
      </c>
      <c r="C54" s="8">
        <v>7537920</v>
      </c>
      <c r="D54" s="7">
        <v>11</v>
      </c>
      <c r="E54" s="8">
        <f t="shared" si="23"/>
        <v>82917120</v>
      </c>
      <c r="F54" s="8">
        <v>10129080</v>
      </c>
      <c r="G54" s="7">
        <v>7</v>
      </c>
      <c r="H54" s="8">
        <f t="shared" si="24"/>
        <v>70903560</v>
      </c>
      <c r="I54" s="8">
        <v>10129080</v>
      </c>
      <c r="J54" s="7">
        <v>7</v>
      </c>
      <c r="K54" s="8">
        <f t="shared" si="25"/>
        <v>70903560</v>
      </c>
      <c r="L54" s="8">
        <v>10600200</v>
      </c>
      <c r="M54" s="7">
        <v>1</v>
      </c>
      <c r="N54" s="8">
        <f t="shared" si="26"/>
        <v>10600200</v>
      </c>
      <c r="Q54" s="7" t="s">
        <v>234</v>
      </c>
      <c r="R54" s="8">
        <v>7537920</v>
      </c>
      <c r="S54" s="7">
        <v>11</v>
      </c>
      <c r="T54" s="8">
        <f t="shared" si="27"/>
        <v>82917120</v>
      </c>
      <c r="U54" s="8">
        <v>10129080</v>
      </c>
      <c r="V54" s="7">
        <v>7</v>
      </c>
      <c r="W54" s="8">
        <f t="shared" si="28"/>
        <v>70903560</v>
      </c>
      <c r="X54" s="8">
        <v>10129080</v>
      </c>
      <c r="Y54" s="7">
        <v>7</v>
      </c>
      <c r="Z54" s="8">
        <f t="shared" si="29"/>
        <v>70903560</v>
      </c>
      <c r="AA54" s="8">
        <v>10600200</v>
      </c>
      <c r="AB54" s="7">
        <v>1</v>
      </c>
      <c r="AC54" s="8">
        <f t="shared" ref="AC54:AC61" si="30">+AA54*AB54</f>
        <v>10600200</v>
      </c>
    </row>
    <row r="55" spans="1:29">
      <c r="B55" s="7" t="s">
        <v>235</v>
      </c>
      <c r="C55" s="8">
        <v>6500</v>
      </c>
      <c r="D55" s="7">
        <v>0</v>
      </c>
      <c r="E55" s="8">
        <f t="shared" si="23"/>
        <v>0</v>
      </c>
      <c r="F55" s="8">
        <v>6500</v>
      </c>
      <c r="G55" s="7">
        <v>0</v>
      </c>
      <c r="H55" s="8">
        <f t="shared" si="24"/>
        <v>0</v>
      </c>
      <c r="I55" s="8">
        <v>6500</v>
      </c>
      <c r="J55" s="7">
        <v>0</v>
      </c>
      <c r="K55" s="8">
        <f t="shared" si="25"/>
        <v>0</v>
      </c>
      <c r="L55" s="8">
        <v>6500</v>
      </c>
      <c r="M55" s="7">
        <v>0</v>
      </c>
      <c r="N55" s="8">
        <f t="shared" si="26"/>
        <v>0</v>
      </c>
      <c r="Q55" s="7" t="s">
        <v>235</v>
      </c>
      <c r="R55" s="8">
        <v>5000</v>
      </c>
      <c r="S55" s="7">
        <v>0</v>
      </c>
      <c r="T55" s="8">
        <f t="shared" si="27"/>
        <v>0</v>
      </c>
      <c r="U55" s="8">
        <v>5000</v>
      </c>
      <c r="V55" s="7">
        <v>0</v>
      </c>
      <c r="W55" s="8">
        <f t="shared" si="28"/>
        <v>0</v>
      </c>
      <c r="X55" s="8">
        <v>5000</v>
      </c>
      <c r="Y55" s="7">
        <v>0</v>
      </c>
      <c r="Z55" s="8">
        <f t="shared" si="29"/>
        <v>0</v>
      </c>
      <c r="AA55" s="8">
        <v>5000</v>
      </c>
      <c r="AB55" s="7">
        <v>0</v>
      </c>
      <c r="AC55" s="8">
        <f t="shared" si="30"/>
        <v>0</v>
      </c>
    </row>
    <row r="56" spans="1:29">
      <c r="B56" s="7" t="s">
        <v>236</v>
      </c>
      <c r="C56" s="8">
        <v>70000</v>
      </c>
      <c r="D56" s="7">
        <v>155</v>
      </c>
      <c r="E56" s="8">
        <f t="shared" si="23"/>
        <v>10850000</v>
      </c>
      <c r="F56" s="8">
        <v>70000</v>
      </c>
      <c r="G56" s="123">
        <f>G72</f>
        <v>174</v>
      </c>
      <c r="H56" s="8">
        <f t="shared" si="24"/>
        <v>12180000</v>
      </c>
      <c r="I56" s="8">
        <v>70000</v>
      </c>
      <c r="J56" s="123">
        <f>J72</f>
        <v>122.33333333333333</v>
      </c>
      <c r="K56" s="8">
        <f t="shared" si="25"/>
        <v>8563333.3333333321</v>
      </c>
      <c r="L56" s="8">
        <v>70000</v>
      </c>
      <c r="M56" s="7">
        <v>62</v>
      </c>
      <c r="N56" s="8">
        <f t="shared" si="26"/>
        <v>4340000</v>
      </c>
      <c r="Q56" s="7" t="s">
        <v>236</v>
      </c>
      <c r="R56" s="8">
        <v>70000</v>
      </c>
      <c r="S56" s="7">
        <f>D56</f>
        <v>155</v>
      </c>
      <c r="T56" s="8">
        <f t="shared" si="27"/>
        <v>10850000</v>
      </c>
      <c r="U56" s="8">
        <v>70000</v>
      </c>
      <c r="V56" s="123">
        <f>G56</f>
        <v>174</v>
      </c>
      <c r="W56" s="8">
        <f t="shared" si="28"/>
        <v>12180000</v>
      </c>
      <c r="X56" s="8">
        <v>70000</v>
      </c>
      <c r="Y56" s="123">
        <f>J56</f>
        <v>122.33333333333333</v>
      </c>
      <c r="Z56" s="8">
        <f t="shared" si="29"/>
        <v>8563333.3333333321</v>
      </c>
      <c r="AA56" s="8">
        <v>70000</v>
      </c>
      <c r="AB56" s="23">
        <v>62</v>
      </c>
      <c r="AC56" s="8">
        <f t="shared" si="30"/>
        <v>4340000</v>
      </c>
    </row>
    <row r="57" spans="1:29">
      <c r="B57" s="7" t="s">
        <v>237</v>
      </c>
      <c r="C57" s="8">
        <v>1200000</v>
      </c>
      <c r="D57" s="7">
        <v>3</v>
      </c>
      <c r="E57" s="8">
        <f t="shared" si="23"/>
        <v>3600000</v>
      </c>
      <c r="F57" s="8">
        <v>1200000</v>
      </c>
      <c r="G57" s="7">
        <v>1</v>
      </c>
      <c r="H57" s="8">
        <f t="shared" si="24"/>
        <v>1200000</v>
      </c>
      <c r="I57" s="8">
        <v>1200000</v>
      </c>
      <c r="J57" s="7">
        <v>2</v>
      </c>
      <c r="K57" s="8">
        <f t="shared" si="25"/>
        <v>2400000</v>
      </c>
      <c r="L57" s="8">
        <v>1200000</v>
      </c>
      <c r="M57" s="7">
        <v>3</v>
      </c>
      <c r="N57" s="8">
        <f t="shared" si="26"/>
        <v>3600000</v>
      </c>
      <c r="Q57" s="7" t="s">
        <v>237</v>
      </c>
      <c r="R57" s="8">
        <v>1200000</v>
      </c>
      <c r="S57" s="7">
        <v>3</v>
      </c>
      <c r="T57" s="8">
        <f t="shared" si="27"/>
        <v>3600000</v>
      </c>
      <c r="U57" s="8">
        <v>1200000</v>
      </c>
      <c r="V57" s="7">
        <v>1</v>
      </c>
      <c r="W57" s="8">
        <f t="shared" si="28"/>
        <v>1200000</v>
      </c>
      <c r="X57" s="8">
        <v>1200000</v>
      </c>
      <c r="Y57" s="7">
        <v>2</v>
      </c>
      <c r="Z57" s="8">
        <f t="shared" si="29"/>
        <v>2400000</v>
      </c>
      <c r="AA57" s="8">
        <v>1200000</v>
      </c>
      <c r="AB57" s="7">
        <v>3</v>
      </c>
      <c r="AC57" s="8">
        <f t="shared" si="30"/>
        <v>3600000</v>
      </c>
    </row>
    <row r="58" spans="1:29">
      <c r="B58" s="7" t="s">
        <v>238</v>
      </c>
      <c r="C58" s="8">
        <v>800000</v>
      </c>
      <c r="D58" s="7">
        <v>0</v>
      </c>
      <c r="E58" s="8">
        <f t="shared" si="23"/>
        <v>0</v>
      </c>
      <c r="F58" s="8">
        <v>800000</v>
      </c>
      <c r="G58" s="7">
        <v>0</v>
      </c>
      <c r="H58" s="8">
        <f t="shared" si="24"/>
        <v>0</v>
      </c>
      <c r="I58" s="8">
        <v>800000</v>
      </c>
      <c r="J58" s="7">
        <v>0</v>
      </c>
      <c r="K58" s="8">
        <f t="shared" si="25"/>
        <v>0</v>
      </c>
      <c r="L58" s="8">
        <v>800000</v>
      </c>
      <c r="M58" s="7">
        <v>0</v>
      </c>
      <c r="N58" s="8">
        <f t="shared" si="26"/>
        <v>0</v>
      </c>
      <c r="Q58" s="7" t="s">
        <v>238</v>
      </c>
      <c r="R58" s="8">
        <v>800000</v>
      </c>
      <c r="S58" s="7">
        <v>0</v>
      </c>
      <c r="T58" s="8">
        <f t="shared" si="27"/>
        <v>0</v>
      </c>
      <c r="U58" s="8">
        <v>800000</v>
      </c>
      <c r="V58" s="7">
        <v>0</v>
      </c>
      <c r="W58" s="8">
        <f t="shared" si="28"/>
        <v>0</v>
      </c>
      <c r="X58" s="8">
        <v>800000</v>
      </c>
      <c r="Y58" s="7">
        <v>0</v>
      </c>
      <c r="Z58" s="8">
        <f t="shared" si="29"/>
        <v>0</v>
      </c>
      <c r="AA58" s="8">
        <v>800000</v>
      </c>
      <c r="AB58" s="7">
        <v>0</v>
      </c>
      <c r="AC58" s="8">
        <f t="shared" si="30"/>
        <v>0</v>
      </c>
    </row>
    <row r="59" spans="1:29">
      <c r="B59" s="7" t="s">
        <v>239</v>
      </c>
      <c r="C59" s="8">
        <v>400000</v>
      </c>
      <c r="D59" s="7">
        <v>0</v>
      </c>
      <c r="E59" s="8">
        <f t="shared" si="23"/>
        <v>0</v>
      </c>
      <c r="F59" s="8">
        <v>400000</v>
      </c>
      <c r="G59" s="7">
        <v>0</v>
      </c>
      <c r="H59" s="13">
        <f t="shared" si="24"/>
        <v>0</v>
      </c>
      <c r="I59" s="8">
        <v>400000</v>
      </c>
      <c r="J59" s="7">
        <v>0</v>
      </c>
      <c r="K59" s="8">
        <f t="shared" si="25"/>
        <v>0</v>
      </c>
      <c r="L59" s="8">
        <v>400000</v>
      </c>
      <c r="M59" s="7">
        <v>0</v>
      </c>
      <c r="N59" s="8">
        <f t="shared" si="26"/>
        <v>0</v>
      </c>
      <c r="Q59" s="7" t="s">
        <v>239</v>
      </c>
      <c r="R59" s="8">
        <v>400000</v>
      </c>
      <c r="S59" s="7">
        <v>0</v>
      </c>
      <c r="T59" s="8">
        <f t="shared" si="27"/>
        <v>0</v>
      </c>
      <c r="U59" s="8">
        <v>400000</v>
      </c>
      <c r="V59" s="7">
        <v>0</v>
      </c>
      <c r="W59" s="8">
        <f t="shared" si="28"/>
        <v>0</v>
      </c>
      <c r="X59" s="8">
        <v>400000</v>
      </c>
      <c r="Y59" s="7">
        <v>0</v>
      </c>
      <c r="Z59" s="8">
        <f t="shared" si="29"/>
        <v>0</v>
      </c>
      <c r="AA59" s="8">
        <v>400000</v>
      </c>
      <c r="AB59" s="7">
        <v>0</v>
      </c>
      <c r="AC59" s="8">
        <f t="shared" si="30"/>
        <v>0</v>
      </c>
    </row>
    <row r="60" spans="1:29">
      <c r="B60" s="7" t="s">
        <v>240</v>
      </c>
      <c r="C60" s="8">
        <v>450000</v>
      </c>
      <c r="D60" s="7">
        <v>0</v>
      </c>
      <c r="E60" s="8">
        <f t="shared" si="23"/>
        <v>0</v>
      </c>
      <c r="F60" s="8">
        <v>450000</v>
      </c>
      <c r="G60" s="7">
        <v>0</v>
      </c>
      <c r="H60" s="13">
        <f t="shared" si="24"/>
        <v>0</v>
      </c>
      <c r="I60" s="8">
        <v>450000</v>
      </c>
      <c r="J60" s="7">
        <v>0</v>
      </c>
      <c r="K60" s="8">
        <f t="shared" si="25"/>
        <v>0</v>
      </c>
      <c r="L60" s="8">
        <v>450000</v>
      </c>
      <c r="M60" s="7">
        <v>0</v>
      </c>
      <c r="N60" s="8">
        <f t="shared" si="26"/>
        <v>0</v>
      </c>
      <c r="Q60" s="7" t="s">
        <v>240</v>
      </c>
      <c r="R60" s="8">
        <v>450000</v>
      </c>
      <c r="S60" s="7">
        <v>0</v>
      </c>
      <c r="T60" s="8">
        <f t="shared" si="27"/>
        <v>0</v>
      </c>
      <c r="U60" s="8">
        <v>450000</v>
      </c>
      <c r="V60" s="7">
        <v>0</v>
      </c>
      <c r="W60" s="8">
        <f t="shared" si="28"/>
        <v>0</v>
      </c>
      <c r="X60" s="8">
        <v>450000</v>
      </c>
      <c r="Y60" s="7">
        <v>0</v>
      </c>
      <c r="Z60" s="8">
        <f t="shared" si="29"/>
        <v>0</v>
      </c>
      <c r="AA60" s="8">
        <v>450000</v>
      </c>
      <c r="AB60" s="7">
        <v>0</v>
      </c>
      <c r="AC60" s="8">
        <f t="shared" si="30"/>
        <v>0</v>
      </c>
    </row>
    <row r="61" spans="1:29">
      <c r="B61" s="7" t="s">
        <v>241</v>
      </c>
      <c r="C61" s="8">
        <v>345375</v>
      </c>
      <c r="D61" s="7">
        <v>0</v>
      </c>
      <c r="E61" s="8">
        <f t="shared" si="23"/>
        <v>0</v>
      </c>
      <c r="F61" s="8">
        <v>345375</v>
      </c>
      <c r="G61" s="7">
        <v>0</v>
      </c>
      <c r="H61" s="13">
        <f t="shared" si="24"/>
        <v>0</v>
      </c>
      <c r="I61" s="8">
        <v>345375</v>
      </c>
      <c r="J61" s="7">
        <v>0</v>
      </c>
      <c r="K61" s="8">
        <f t="shared" si="25"/>
        <v>0</v>
      </c>
      <c r="L61" s="8">
        <v>345375</v>
      </c>
      <c r="M61" s="7">
        <v>0</v>
      </c>
      <c r="N61" s="8">
        <f t="shared" si="26"/>
        <v>0</v>
      </c>
      <c r="Q61" s="7" t="s">
        <v>241</v>
      </c>
      <c r="R61" s="8">
        <v>345375</v>
      </c>
      <c r="S61" s="7">
        <v>0</v>
      </c>
      <c r="T61" s="8">
        <f t="shared" si="27"/>
        <v>0</v>
      </c>
      <c r="U61" s="8">
        <v>345375</v>
      </c>
      <c r="V61" s="7">
        <v>0</v>
      </c>
      <c r="W61" s="8">
        <f t="shared" si="28"/>
        <v>0</v>
      </c>
      <c r="X61" s="8">
        <v>345375</v>
      </c>
      <c r="Y61" s="7">
        <v>0</v>
      </c>
      <c r="Z61" s="8">
        <f t="shared" si="29"/>
        <v>0</v>
      </c>
      <c r="AA61" s="8">
        <v>345375</v>
      </c>
      <c r="AB61" s="7">
        <v>0</v>
      </c>
      <c r="AC61" s="8">
        <f t="shared" si="30"/>
        <v>0</v>
      </c>
    </row>
    <row r="62" spans="1:29">
      <c r="B62" s="9"/>
      <c r="C62" s="9"/>
      <c r="D62" s="6" t="s">
        <v>48</v>
      </c>
      <c r="E62" s="10">
        <f>SUM(E53:E61)</f>
        <v>375667120</v>
      </c>
      <c r="F62" s="9"/>
      <c r="G62" s="6" t="s">
        <v>48</v>
      </c>
      <c r="H62" s="10">
        <f>SUM(H53:H61)</f>
        <v>266283560</v>
      </c>
      <c r="I62" s="9"/>
      <c r="J62" s="6" t="s">
        <v>48</v>
      </c>
      <c r="K62" s="10">
        <f>SUM(K53:K61)</f>
        <v>263866893.33333334</v>
      </c>
      <c r="L62" s="8"/>
      <c r="M62" s="7"/>
      <c r="N62" s="10">
        <f>SUM(N53:N61)</f>
        <v>45740200</v>
      </c>
      <c r="Q62" s="9"/>
      <c r="R62" s="9"/>
      <c r="S62" s="6" t="s">
        <v>48</v>
      </c>
      <c r="T62" s="10">
        <f>SUM(T53:T61)</f>
        <v>392167120</v>
      </c>
      <c r="U62" s="9"/>
      <c r="V62" s="6" t="s">
        <v>48</v>
      </c>
      <c r="W62" s="15">
        <f>SUM(W53:W61)</f>
        <v>276783560</v>
      </c>
      <c r="X62" s="9"/>
      <c r="Y62" s="6" t="s">
        <v>48</v>
      </c>
      <c r="Z62" s="10">
        <f>SUM(Z53:Z61)</f>
        <v>274366893.33333331</v>
      </c>
      <c r="AA62" s="8"/>
      <c r="AB62" s="7"/>
      <c r="AC62" s="10">
        <f>SUM(AC53:AC61)</f>
        <v>47240200</v>
      </c>
    </row>
    <row r="63" spans="1:29">
      <c r="E63" s="21"/>
      <c r="H63" s="21"/>
      <c r="K63" s="21"/>
      <c r="M63" s="14"/>
      <c r="N63" s="14"/>
      <c r="AB63" s="14"/>
      <c r="AC63" s="14"/>
    </row>
    <row r="64" spans="1:29">
      <c r="L64" s="25"/>
      <c r="N64" s="25"/>
      <c r="W64" t="s">
        <v>265</v>
      </c>
      <c r="X64" s="127">
        <f>(T62+Z62+W62+AC62+K33)/27</f>
        <v>38168031.604938269</v>
      </c>
    </row>
    <row r="65" spans="1:29">
      <c r="G65" t="s">
        <v>265</v>
      </c>
      <c r="H65" s="127">
        <f>(E62+H62+K62+N62+K32)/27</f>
        <v>36668031.604938276</v>
      </c>
      <c r="L65" s="134"/>
      <c r="N65" s="135"/>
    </row>
    <row r="66" spans="1:29">
      <c r="K66" s="14"/>
      <c r="L66" s="14"/>
      <c r="M66" s="14"/>
      <c r="N66" s="14"/>
      <c r="Z66" s="14"/>
    </row>
    <row r="67" spans="1:29">
      <c r="B67" s="358" t="s">
        <v>6</v>
      </c>
      <c r="C67" s="268" t="s">
        <v>10</v>
      </c>
      <c r="D67" s="347"/>
      <c r="E67" s="269"/>
      <c r="F67" s="268" t="s">
        <v>251</v>
      </c>
      <c r="G67" s="347"/>
      <c r="H67" s="269"/>
      <c r="I67" s="268" t="s">
        <v>17</v>
      </c>
      <c r="J67" s="347"/>
      <c r="K67" s="269"/>
      <c r="L67" s="268" t="s">
        <v>252</v>
      </c>
      <c r="M67" s="347"/>
      <c r="N67" s="269"/>
      <c r="Q67" s="354" t="s">
        <v>6</v>
      </c>
      <c r="R67" s="268" t="s">
        <v>10</v>
      </c>
      <c r="S67" s="347"/>
      <c r="T67" s="269"/>
      <c r="U67" s="268" t="s">
        <v>15</v>
      </c>
      <c r="V67" s="347"/>
      <c r="W67" s="269"/>
      <c r="X67" s="268" t="s">
        <v>17</v>
      </c>
      <c r="Y67" s="347"/>
      <c r="Z67" s="269"/>
      <c r="AA67" s="268" t="s">
        <v>252</v>
      </c>
      <c r="AB67" s="347"/>
      <c r="AC67" s="269"/>
    </row>
    <row r="68" spans="1:29">
      <c r="A68" s="24"/>
      <c r="B68" s="359"/>
      <c r="C68" s="5" t="s">
        <v>180</v>
      </c>
      <c r="D68" s="6" t="s">
        <v>41</v>
      </c>
      <c r="E68" s="6" t="s">
        <v>44</v>
      </c>
      <c r="F68" s="5" t="s">
        <v>180</v>
      </c>
      <c r="G68" s="6" t="s">
        <v>41</v>
      </c>
      <c r="H68" s="6" t="s">
        <v>44</v>
      </c>
      <c r="I68" s="5" t="s">
        <v>180</v>
      </c>
      <c r="J68" s="6" t="s">
        <v>41</v>
      </c>
      <c r="K68" s="6" t="s">
        <v>44</v>
      </c>
      <c r="L68" s="5" t="s">
        <v>180</v>
      </c>
      <c r="M68" s="6" t="s">
        <v>41</v>
      </c>
      <c r="N68" s="6" t="s">
        <v>44</v>
      </c>
      <c r="Q68" s="355"/>
      <c r="R68" s="5" t="s">
        <v>180</v>
      </c>
      <c r="S68" s="6" t="s">
        <v>41</v>
      </c>
      <c r="T68" s="6" t="s">
        <v>44</v>
      </c>
      <c r="U68" s="5" t="s">
        <v>180</v>
      </c>
      <c r="V68" s="6" t="s">
        <v>41</v>
      </c>
      <c r="W68" s="6" t="s">
        <v>44</v>
      </c>
      <c r="X68" s="5" t="s">
        <v>180</v>
      </c>
      <c r="Y68" s="6" t="s">
        <v>41</v>
      </c>
      <c r="Z68" s="6" t="s">
        <v>44</v>
      </c>
      <c r="AA68" s="5" t="s">
        <v>180</v>
      </c>
      <c r="AB68" s="6" t="s">
        <v>41</v>
      </c>
      <c r="AC68" s="6" t="s">
        <v>44</v>
      </c>
    </row>
    <row r="69" spans="1:29">
      <c r="B69" s="7" t="s">
        <v>233</v>
      </c>
      <c r="C69" s="8">
        <v>22907778</v>
      </c>
      <c r="D69" s="7">
        <v>11</v>
      </c>
      <c r="E69" s="8">
        <f t="shared" ref="E69:E77" si="31">+C69*D69</f>
        <v>251985558</v>
      </c>
      <c r="F69" s="8">
        <v>24507778</v>
      </c>
      <c r="G69" s="7">
        <v>7</v>
      </c>
      <c r="H69" s="8">
        <f t="shared" ref="H69:H77" si="32">+F69*G69</f>
        <v>171554446</v>
      </c>
      <c r="I69" s="8">
        <v>24507778</v>
      </c>
      <c r="J69" s="7">
        <v>7</v>
      </c>
      <c r="K69" s="8">
        <f t="shared" ref="K69:K77" si="33">+I69*J69</f>
        <v>171554446</v>
      </c>
      <c r="L69" s="8">
        <v>25207777.777777798</v>
      </c>
      <c r="M69" s="7">
        <v>1</v>
      </c>
      <c r="N69" s="8">
        <f t="shared" ref="N69:N77" si="34">+L69*M69</f>
        <v>25207777.777777798</v>
      </c>
      <c r="Q69" s="7" t="s">
        <v>233</v>
      </c>
      <c r="R69" s="8">
        <v>22907778</v>
      </c>
      <c r="S69" s="7">
        <v>11</v>
      </c>
      <c r="T69" s="8">
        <f t="shared" ref="T69:T77" si="35">+R69*S69</f>
        <v>251985558</v>
      </c>
      <c r="U69" s="8">
        <v>24507778</v>
      </c>
      <c r="V69" s="7">
        <v>7</v>
      </c>
      <c r="W69" s="8">
        <f t="shared" ref="W69:W77" si="36">+U69*V69</f>
        <v>171554446</v>
      </c>
      <c r="X69" s="8">
        <v>24507778</v>
      </c>
      <c r="Y69" s="7">
        <v>7</v>
      </c>
      <c r="Z69" s="8">
        <f t="shared" ref="Z69:Z77" si="37">+X69*Y69</f>
        <v>171554446</v>
      </c>
      <c r="AA69" s="8">
        <v>25207777.777777798</v>
      </c>
      <c r="AB69" s="7">
        <v>1</v>
      </c>
      <c r="AC69" s="8">
        <f t="shared" ref="AC69:AC77" si="38">+AA69*AB69</f>
        <v>25207777.777777798</v>
      </c>
    </row>
    <row r="70" spans="1:29">
      <c r="B70" s="7" t="s">
        <v>234</v>
      </c>
      <c r="C70" s="8">
        <v>6483840</v>
      </c>
      <c r="D70" s="7">
        <v>11</v>
      </c>
      <c r="E70" s="8">
        <f t="shared" si="31"/>
        <v>71322240</v>
      </c>
      <c r="F70" s="8">
        <v>8712660</v>
      </c>
      <c r="G70" s="7">
        <v>7</v>
      </c>
      <c r="H70" s="8">
        <f t="shared" si="32"/>
        <v>60988620</v>
      </c>
      <c r="I70" s="8">
        <v>8712660</v>
      </c>
      <c r="J70" s="7">
        <v>7</v>
      </c>
      <c r="K70" s="8">
        <f t="shared" si="33"/>
        <v>60988620</v>
      </c>
      <c r="L70" s="8">
        <v>9117900</v>
      </c>
      <c r="M70" s="7">
        <v>1</v>
      </c>
      <c r="N70" s="8">
        <f t="shared" si="34"/>
        <v>9117900</v>
      </c>
      <c r="Q70" s="7" t="s">
        <v>234</v>
      </c>
      <c r="R70" s="8">
        <v>6483840</v>
      </c>
      <c r="S70" s="7">
        <v>11</v>
      </c>
      <c r="T70" s="8">
        <f t="shared" si="35"/>
        <v>71322240</v>
      </c>
      <c r="U70" s="8">
        <v>8712660</v>
      </c>
      <c r="V70" s="7">
        <v>7</v>
      </c>
      <c r="W70" s="8">
        <f t="shared" si="36"/>
        <v>60988620</v>
      </c>
      <c r="X70" s="8">
        <v>8712660</v>
      </c>
      <c r="Y70" s="7">
        <v>7</v>
      </c>
      <c r="Z70" s="8">
        <f t="shared" si="37"/>
        <v>60988620</v>
      </c>
      <c r="AA70" s="8">
        <v>9117900</v>
      </c>
      <c r="AB70" s="7">
        <v>1</v>
      </c>
      <c r="AC70" s="8">
        <f t="shared" si="38"/>
        <v>9117900</v>
      </c>
    </row>
    <row r="71" spans="1:29">
      <c r="B71" s="128" t="s">
        <v>235</v>
      </c>
      <c r="C71" s="8">
        <v>6000</v>
      </c>
      <c r="D71" s="7">
        <v>0</v>
      </c>
      <c r="E71" s="8">
        <f t="shared" si="31"/>
        <v>0</v>
      </c>
      <c r="F71" s="8">
        <v>6000</v>
      </c>
      <c r="G71" s="7">
        <v>0</v>
      </c>
      <c r="H71" s="8">
        <f t="shared" si="32"/>
        <v>0</v>
      </c>
      <c r="I71" s="8">
        <v>6000</v>
      </c>
      <c r="J71" s="7">
        <v>0</v>
      </c>
      <c r="K71" s="8">
        <f t="shared" si="33"/>
        <v>0</v>
      </c>
      <c r="L71" s="8">
        <v>6000</v>
      </c>
      <c r="M71" s="7">
        <v>0</v>
      </c>
      <c r="N71" s="8">
        <f t="shared" si="34"/>
        <v>0</v>
      </c>
      <c r="Q71" s="7" t="s">
        <v>235</v>
      </c>
      <c r="R71" s="8">
        <v>6000</v>
      </c>
      <c r="S71" s="7">
        <v>0</v>
      </c>
      <c r="T71" s="8">
        <f t="shared" si="35"/>
        <v>0</v>
      </c>
      <c r="U71" s="8">
        <v>6000</v>
      </c>
      <c r="V71" s="7">
        <v>0</v>
      </c>
      <c r="W71" s="8">
        <f t="shared" si="36"/>
        <v>0</v>
      </c>
      <c r="X71" s="8">
        <v>6000</v>
      </c>
      <c r="Y71" s="7">
        <v>0</v>
      </c>
      <c r="Z71" s="8">
        <f t="shared" si="37"/>
        <v>0</v>
      </c>
      <c r="AA71" s="8">
        <v>6000</v>
      </c>
      <c r="AB71" s="7">
        <v>0</v>
      </c>
      <c r="AC71" s="8">
        <f t="shared" si="38"/>
        <v>0</v>
      </c>
    </row>
    <row r="72" spans="1:29">
      <c r="B72" s="128" t="s">
        <v>236</v>
      </c>
      <c r="C72" s="8">
        <v>60000</v>
      </c>
      <c r="D72" s="129">
        <f>177-E84</f>
        <v>155</v>
      </c>
      <c r="E72" s="8">
        <f t="shared" si="31"/>
        <v>9300000</v>
      </c>
      <c r="F72" s="8">
        <v>60000</v>
      </c>
      <c r="G72" s="129">
        <f>218-E85</f>
        <v>174</v>
      </c>
      <c r="H72" s="8">
        <f t="shared" si="32"/>
        <v>10440000</v>
      </c>
      <c r="I72" s="8">
        <v>60000</v>
      </c>
      <c r="J72" s="129">
        <f>137-E86</f>
        <v>122.33333333333333</v>
      </c>
      <c r="K72" s="8">
        <f t="shared" si="33"/>
        <v>7340000</v>
      </c>
      <c r="L72" s="8">
        <v>60000</v>
      </c>
      <c r="M72" s="23">
        <v>62</v>
      </c>
      <c r="N72" s="8">
        <f t="shared" si="34"/>
        <v>3720000</v>
      </c>
      <c r="Q72" s="7" t="s">
        <v>236</v>
      </c>
      <c r="R72" s="8">
        <v>60000</v>
      </c>
      <c r="S72" s="123">
        <f>D72</f>
        <v>155</v>
      </c>
      <c r="T72" s="8">
        <f t="shared" si="35"/>
        <v>9300000</v>
      </c>
      <c r="U72" s="8">
        <v>60000</v>
      </c>
      <c r="V72" s="123">
        <f>G72</f>
        <v>174</v>
      </c>
      <c r="W72" s="8">
        <f t="shared" si="36"/>
        <v>10440000</v>
      </c>
      <c r="X72" s="8">
        <v>60000</v>
      </c>
      <c r="Y72" s="123">
        <f>J72</f>
        <v>122.33333333333333</v>
      </c>
      <c r="Z72" s="8">
        <f t="shared" si="37"/>
        <v>7340000</v>
      </c>
      <c r="AA72" s="8">
        <v>60000</v>
      </c>
      <c r="AB72" s="23">
        <v>62</v>
      </c>
      <c r="AC72" s="8">
        <f t="shared" si="38"/>
        <v>3720000</v>
      </c>
    </row>
    <row r="73" spans="1:29">
      <c r="B73" s="7" t="s">
        <v>237</v>
      </c>
      <c r="C73" s="8">
        <v>1200000</v>
      </c>
      <c r="D73" s="7">
        <v>3</v>
      </c>
      <c r="E73" s="8">
        <f t="shared" si="31"/>
        <v>3600000</v>
      </c>
      <c r="F73" s="8">
        <v>1200000</v>
      </c>
      <c r="G73" s="7">
        <v>1</v>
      </c>
      <c r="H73" s="8">
        <f t="shared" si="32"/>
        <v>1200000</v>
      </c>
      <c r="I73" s="8">
        <v>1200000</v>
      </c>
      <c r="J73" s="7">
        <v>2</v>
      </c>
      <c r="K73" s="8">
        <f t="shared" si="33"/>
        <v>2400000</v>
      </c>
      <c r="L73" s="8">
        <v>1200000</v>
      </c>
      <c r="M73" s="7">
        <v>3</v>
      </c>
      <c r="N73" s="8">
        <f t="shared" si="34"/>
        <v>3600000</v>
      </c>
      <c r="Q73" s="7" t="s">
        <v>237</v>
      </c>
      <c r="R73" s="8">
        <v>1200000</v>
      </c>
      <c r="S73" s="7">
        <v>3</v>
      </c>
      <c r="T73" s="8">
        <f t="shared" si="35"/>
        <v>3600000</v>
      </c>
      <c r="U73" s="8">
        <v>1200000</v>
      </c>
      <c r="V73" s="7">
        <v>1</v>
      </c>
      <c r="W73" s="8">
        <f t="shared" si="36"/>
        <v>1200000</v>
      </c>
      <c r="X73" s="8">
        <v>1200000</v>
      </c>
      <c r="Y73" s="7">
        <v>2</v>
      </c>
      <c r="Z73" s="8">
        <f t="shared" si="37"/>
        <v>2400000</v>
      </c>
      <c r="AA73" s="8">
        <v>1200000</v>
      </c>
      <c r="AB73" s="7">
        <v>3</v>
      </c>
      <c r="AC73" s="8">
        <f t="shared" si="38"/>
        <v>3600000</v>
      </c>
    </row>
    <row r="74" spans="1:29">
      <c r="B74" s="7" t="s">
        <v>238</v>
      </c>
      <c r="C74" s="8">
        <v>900000</v>
      </c>
      <c r="D74" s="7">
        <v>0</v>
      </c>
      <c r="E74" s="8">
        <f t="shared" si="31"/>
        <v>0</v>
      </c>
      <c r="F74" s="8">
        <v>900000</v>
      </c>
      <c r="G74" s="7">
        <v>0</v>
      </c>
      <c r="H74" s="8">
        <f t="shared" si="32"/>
        <v>0</v>
      </c>
      <c r="I74" s="8">
        <v>900000</v>
      </c>
      <c r="J74" s="7">
        <v>0</v>
      </c>
      <c r="K74" s="8">
        <f t="shared" si="33"/>
        <v>0</v>
      </c>
      <c r="L74" s="8">
        <v>900000</v>
      </c>
      <c r="M74" s="7">
        <v>0</v>
      </c>
      <c r="N74" s="8">
        <f t="shared" si="34"/>
        <v>0</v>
      </c>
      <c r="Q74" s="7" t="s">
        <v>238</v>
      </c>
      <c r="R74" s="8">
        <v>900000</v>
      </c>
      <c r="S74" s="7">
        <v>0</v>
      </c>
      <c r="T74" s="8">
        <f t="shared" si="35"/>
        <v>0</v>
      </c>
      <c r="U74" s="8">
        <v>900000</v>
      </c>
      <c r="V74" s="7">
        <v>0</v>
      </c>
      <c r="W74" s="8">
        <f t="shared" si="36"/>
        <v>0</v>
      </c>
      <c r="X74" s="8">
        <v>900000</v>
      </c>
      <c r="Y74" s="7">
        <v>0</v>
      </c>
      <c r="Z74" s="8">
        <f t="shared" si="37"/>
        <v>0</v>
      </c>
      <c r="AA74" s="8">
        <v>900000</v>
      </c>
      <c r="AB74" s="7">
        <v>0</v>
      </c>
      <c r="AC74" s="8">
        <f t="shared" si="38"/>
        <v>0</v>
      </c>
    </row>
    <row r="75" spans="1:29">
      <c r="B75" s="7" t="s">
        <v>239</v>
      </c>
      <c r="C75" s="8">
        <v>300000</v>
      </c>
      <c r="D75" s="7">
        <v>0</v>
      </c>
      <c r="E75" s="8">
        <f t="shared" si="31"/>
        <v>0</v>
      </c>
      <c r="F75" s="8">
        <v>300000</v>
      </c>
      <c r="G75" s="7">
        <v>0</v>
      </c>
      <c r="H75" s="8">
        <f t="shared" si="32"/>
        <v>0</v>
      </c>
      <c r="I75" s="8">
        <v>300000</v>
      </c>
      <c r="J75" s="7">
        <v>0</v>
      </c>
      <c r="K75" s="8">
        <f t="shared" si="33"/>
        <v>0</v>
      </c>
      <c r="L75" s="8">
        <v>300000</v>
      </c>
      <c r="M75" s="7">
        <v>0</v>
      </c>
      <c r="N75" s="8">
        <f t="shared" si="34"/>
        <v>0</v>
      </c>
      <c r="Q75" s="7" t="s">
        <v>239</v>
      </c>
      <c r="R75" s="8">
        <v>300000</v>
      </c>
      <c r="S75" s="7">
        <v>0</v>
      </c>
      <c r="T75" s="8">
        <f t="shared" si="35"/>
        <v>0</v>
      </c>
      <c r="U75" s="8">
        <v>300000</v>
      </c>
      <c r="V75" s="7">
        <v>0</v>
      </c>
      <c r="W75" s="8">
        <f t="shared" si="36"/>
        <v>0</v>
      </c>
      <c r="X75" s="8">
        <v>300000</v>
      </c>
      <c r="Y75" s="7">
        <v>0</v>
      </c>
      <c r="Z75" s="8">
        <f t="shared" si="37"/>
        <v>0</v>
      </c>
      <c r="AA75" s="8">
        <v>300000</v>
      </c>
      <c r="AB75" s="7">
        <v>0</v>
      </c>
      <c r="AC75" s="8">
        <f t="shared" si="38"/>
        <v>0</v>
      </c>
    </row>
    <row r="76" spans="1:29">
      <c r="B76" s="7" t="s">
        <v>240</v>
      </c>
      <c r="C76" s="8">
        <v>200000</v>
      </c>
      <c r="D76" s="7">
        <v>0</v>
      </c>
      <c r="E76" s="8">
        <f t="shared" si="31"/>
        <v>0</v>
      </c>
      <c r="F76" s="8">
        <v>200000</v>
      </c>
      <c r="G76" s="7">
        <v>0</v>
      </c>
      <c r="H76" s="8">
        <f t="shared" si="32"/>
        <v>0</v>
      </c>
      <c r="I76" s="8">
        <v>200000</v>
      </c>
      <c r="J76" s="7">
        <v>0</v>
      </c>
      <c r="K76" s="8">
        <f t="shared" si="33"/>
        <v>0</v>
      </c>
      <c r="L76" s="8">
        <v>200000</v>
      </c>
      <c r="M76" s="7">
        <v>0</v>
      </c>
      <c r="N76" s="8">
        <f t="shared" si="34"/>
        <v>0</v>
      </c>
      <c r="Q76" s="7" t="s">
        <v>240</v>
      </c>
      <c r="R76" s="8">
        <v>200000</v>
      </c>
      <c r="S76" s="7">
        <v>0</v>
      </c>
      <c r="T76" s="8">
        <f t="shared" si="35"/>
        <v>0</v>
      </c>
      <c r="U76" s="8">
        <v>200000</v>
      </c>
      <c r="V76" s="7">
        <v>0</v>
      </c>
      <c r="W76" s="8">
        <f t="shared" si="36"/>
        <v>0</v>
      </c>
      <c r="X76" s="8">
        <v>200000</v>
      </c>
      <c r="Y76" s="7">
        <v>0</v>
      </c>
      <c r="Z76" s="8">
        <f t="shared" si="37"/>
        <v>0</v>
      </c>
      <c r="AA76" s="8">
        <v>200000</v>
      </c>
      <c r="AB76" s="7">
        <v>0</v>
      </c>
      <c r="AC76" s="8">
        <f t="shared" si="38"/>
        <v>0</v>
      </c>
    </row>
    <row r="77" spans="1:29">
      <c r="B77" s="7" t="s">
        <v>241</v>
      </c>
      <c r="C77" s="8">
        <v>202620</v>
      </c>
      <c r="D77" s="7">
        <v>0</v>
      </c>
      <c r="E77" s="8">
        <f t="shared" si="31"/>
        <v>0</v>
      </c>
      <c r="F77" s="8">
        <v>202620</v>
      </c>
      <c r="G77" s="7">
        <v>0</v>
      </c>
      <c r="H77" s="8">
        <f t="shared" si="32"/>
        <v>0</v>
      </c>
      <c r="I77" s="8">
        <v>202620</v>
      </c>
      <c r="J77" s="7">
        <v>0</v>
      </c>
      <c r="K77" s="8">
        <f t="shared" si="33"/>
        <v>0</v>
      </c>
      <c r="L77" s="8">
        <v>202620</v>
      </c>
      <c r="M77" s="7">
        <v>0</v>
      </c>
      <c r="N77" s="8">
        <f t="shared" si="34"/>
        <v>0</v>
      </c>
      <c r="Q77" s="7" t="s">
        <v>241</v>
      </c>
      <c r="R77" s="8">
        <v>202620</v>
      </c>
      <c r="S77" s="7">
        <v>0</v>
      </c>
      <c r="T77" s="8">
        <f t="shared" si="35"/>
        <v>0</v>
      </c>
      <c r="U77" s="8">
        <v>202620</v>
      </c>
      <c r="V77" s="7">
        <v>0</v>
      </c>
      <c r="W77" s="8">
        <f t="shared" si="36"/>
        <v>0</v>
      </c>
      <c r="X77" s="8">
        <v>202620</v>
      </c>
      <c r="Y77" s="7">
        <v>0</v>
      </c>
      <c r="Z77" s="8">
        <f t="shared" si="37"/>
        <v>0</v>
      </c>
      <c r="AA77" s="8">
        <v>202620</v>
      </c>
      <c r="AB77" s="7">
        <v>0</v>
      </c>
      <c r="AC77" s="8">
        <f t="shared" si="38"/>
        <v>0</v>
      </c>
    </row>
    <row r="78" spans="1:29">
      <c r="B78" s="9"/>
      <c r="C78" s="9"/>
      <c r="D78" s="6" t="s">
        <v>48</v>
      </c>
      <c r="E78" s="10">
        <f>SUM(E69:E77)</f>
        <v>336207798</v>
      </c>
      <c r="F78" s="9"/>
      <c r="G78" s="6" t="s">
        <v>48</v>
      </c>
      <c r="H78" s="17">
        <f>SUM(H69:H77)</f>
        <v>244183066</v>
      </c>
      <c r="I78" s="9"/>
      <c r="J78" s="6" t="s">
        <v>48</v>
      </c>
      <c r="K78" s="10">
        <f>SUM(K69:K77)</f>
        <v>242283066</v>
      </c>
      <c r="L78" s="8"/>
      <c r="M78" s="7"/>
      <c r="N78" s="10">
        <f>SUM(N69:N77)</f>
        <v>41645677.777777798</v>
      </c>
      <c r="Q78" s="9"/>
      <c r="R78" s="9"/>
      <c r="S78" s="6" t="s">
        <v>48</v>
      </c>
      <c r="T78" s="10">
        <f>SUM(T69:T77)</f>
        <v>336207798</v>
      </c>
      <c r="U78" s="9"/>
      <c r="V78" s="6" t="s">
        <v>48</v>
      </c>
      <c r="W78" s="15">
        <f>SUM(W69:W77)</f>
        <v>244183066</v>
      </c>
      <c r="X78" s="9"/>
      <c r="Y78" s="6" t="s">
        <v>48</v>
      </c>
      <c r="Z78" s="10">
        <f>SUM(Z69:Z77)</f>
        <v>242283066</v>
      </c>
      <c r="AA78" s="8"/>
      <c r="AB78" s="7"/>
      <c r="AC78" s="10">
        <f>SUM(AC69:AC77)</f>
        <v>41645677.777777798</v>
      </c>
    </row>
    <row r="79" spans="1:29">
      <c r="K79" s="14"/>
      <c r="L79" s="14"/>
      <c r="M79" s="14" t="s">
        <v>20</v>
      </c>
      <c r="N79" s="14">
        <f>+(E78+H78+K78+N78)/(D69+G69+J69+M69)</f>
        <v>33243061.83760684</v>
      </c>
      <c r="Z79" s="14"/>
      <c r="AB79" s="14"/>
      <c r="AC79" s="14"/>
    </row>
    <row r="80" spans="1:29">
      <c r="G80" t="s">
        <v>265</v>
      </c>
      <c r="H80" s="127">
        <f>(E78+H78+K78+N78+H32)/27</f>
        <v>33320001.69547325</v>
      </c>
      <c r="K80" s="14"/>
      <c r="L80" s="14"/>
      <c r="M80" s="14"/>
      <c r="N80" s="14"/>
      <c r="Z80" s="14"/>
    </row>
    <row r="81" spans="1:29">
      <c r="E81" s="21"/>
      <c r="H81" s="21"/>
      <c r="K81" s="136"/>
      <c r="L81" s="136"/>
      <c r="M81" s="136"/>
      <c r="N81" s="136"/>
      <c r="Z81" s="14"/>
    </row>
    <row r="82" spans="1:29">
      <c r="G82" s="22"/>
      <c r="H82" s="25"/>
      <c r="K82" s="14"/>
      <c r="L82" s="14"/>
      <c r="M82" s="14"/>
      <c r="N82" s="14"/>
      <c r="Z82" s="14"/>
    </row>
    <row r="83" spans="1:29" hidden="1">
      <c r="B83" s="130" t="s">
        <v>5</v>
      </c>
      <c r="C83" s="130" t="s">
        <v>266</v>
      </c>
      <c r="D83" s="130"/>
      <c r="E83" s="130" t="s">
        <v>267</v>
      </c>
      <c r="F83" s="131" t="s">
        <v>268</v>
      </c>
      <c r="G83" s="87"/>
      <c r="H83" s="22"/>
      <c r="K83" s="14"/>
      <c r="L83" s="14"/>
      <c r="M83" s="14"/>
      <c r="N83" s="14"/>
      <c r="Z83" s="14"/>
    </row>
    <row r="84" spans="1:29" hidden="1">
      <c r="B84" s="130" t="s">
        <v>10</v>
      </c>
      <c r="C84" s="130">
        <v>1</v>
      </c>
      <c r="D84" s="130"/>
      <c r="E84" s="130">
        <f>C84*22</f>
        <v>22</v>
      </c>
      <c r="F84" s="132" t="s">
        <v>269</v>
      </c>
      <c r="G84" s="87"/>
      <c r="H84" s="22"/>
      <c r="K84" s="14"/>
      <c r="L84" s="14" t="s">
        <v>270</v>
      </c>
      <c r="M84" s="14"/>
      <c r="N84" s="14"/>
      <c r="Z84" s="14"/>
    </row>
    <row r="85" spans="1:29" hidden="1">
      <c r="B85" s="130" t="s">
        <v>15</v>
      </c>
      <c r="C85" s="130">
        <f>40*3/60</f>
        <v>2</v>
      </c>
      <c r="D85" s="130"/>
      <c r="E85" s="130">
        <f>C85*22</f>
        <v>44</v>
      </c>
      <c r="F85" s="132" t="s">
        <v>271</v>
      </c>
      <c r="L85" s="22" t="s">
        <v>3</v>
      </c>
      <c r="M85" s="137" t="s">
        <v>272</v>
      </c>
      <c r="N85" s="22" t="s">
        <v>273</v>
      </c>
    </row>
    <row r="86" spans="1:29" hidden="1">
      <c r="B86" s="130" t="s">
        <v>17</v>
      </c>
      <c r="C86" s="130">
        <f>40/60</f>
        <v>0.66666666666666663</v>
      </c>
      <c r="D86" s="130"/>
      <c r="E86" s="130">
        <f>C86*22</f>
        <v>14.666666666666666</v>
      </c>
      <c r="F86" s="132" t="s">
        <v>274</v>
      </c>
      <c r="L86" s="22" t="s">
        <v>42</v>
      </c>
      <c r="M86" s="22" t="s">
        <v>275</v>
      </c>
      <c r="N86" s="22" t="s">
        <v>276</v>
      </c>
    </row>
    <row r="87" spans="1:29">
      <c r="L87" s="22"/>
      <c r="M87" s="22"/>
      <c r="N87" s="22"/>
    </row>
    <row r="88" spans="1:29">
      <c r="B88" s="354" t="s">
        <v>7</v>
      </c>
      <c r="C88" s="268" t="s">
        <v>10</v>
      </c>
      <c r="D88" s="347"/>
      <c r="E88" s="269"/>
      <c r="F88" s="268" t="s">
        <v>251</v>
      </c>
      <c r="G88" s="347"/>
      <c r="H88" s="269"/>
      <c r="I88" s="268" t="s">
        <v>17</v>
      </c>
      <c r="J88" s="347"/>
      <c r="K88" s="269"/>
      <c r="L88" s="268" t="s">
        <v>252</v>
      </c>
      <c r="M88" s="347"/>
      <c r="N88" s="269"/>
      <c r="Q88" s="354" t="s">
        <v>7</v>
      </c>
      <c r="R88" s="268" t="s">
        <v>10</v>
      </c>
      <c r="S88" s="347"/>
      <c r="T88" s="269"/>
      <c r="U88" s="268" t="s">
        <v>15</v>
      </c>
      <c r="V88" s="347"/>
      <c r="W88" s="269"/>
      <c r="X88" s="268" t="s">
        <v>17</v>
      </c>
      <c r="Y88" s="347"/>
      <c r="Z88" s="269"/>
      <c r="AA88" s="268" t="s">
        <v>252</v>
      </c>
      <c r="AB88" s="347"/>
      <c r="AC88" s="269"/>
    </row>
    <row r="89" spans="1:29">
      <c r="A89" s="24"/>
      <c r="B89" s="355"/>
      <c r="C89" s="5" t="s">
        <v>180</v>
      </c>
      <c r="D89" s="6" t="s">
        <v>41</v>
      </c>
      <c r="E89" s="6" t="s">
        <v>44</v>
      </c>
      <c r="F89" s="5" t="s">
        <v>180</v>
      </c>
      <c r="G89" s="6" t="s">
        <v>41</v>
      </c>
      <c r="H89" s="6" t="s">
        <v>44</v>
      </c>
      <c r="I89" s="5" t="s">
        <v>180</v>
      </c>
      <c r="J89" s="6" t="s">
        <v>41</v>
      </c>
      <c r="K89" s="6" t="s">
        <v>44</v>
      </c>
      <c r="L89" s="5" t="s">
        <v>180</v>
      </c>
      <c r="M89" s="6" t="s">
        <v>41</v>
      </c>
      <c r="N89" s="6" t="s">
        <v>44</v>
      </c>
      <c r="Q89" s="355"/>
      <c r="R89" s="5" t="s">
        <v>180</v>
      </c>
      <c r="S89" s="6" t="s">
        <v>41</v>
      </c>
      <c r="T89" s="6" t="s">
        <v>44</v>
      </c>
      <c r="U89" s="5" t="s">
        <v>180</v>
      </c>
      <c r="V89" s="6" t="s">
        <v>41</v>
      </c>
      <c r="W89" s="6" t="s">
        <v>44</v>
      </c>
      <c r="X89" s="5" t="s">
        <v>180</v>
      </c>
      <c r="Y89" s="6" t="s">
        <v>41</v>
      </c>
      <c r="Z89" s="6" t="s">
        <v>44</v>
      </c>
      <c r="AA89" s="5" t="s">
        <v>180</v>
      </c>
      <c r="AB89" s="6" t="s">
        <v>41</v>
      </c>
      <c r="AC89" s="6" t="s">
        <v>44</v>
      </c>
    </row>
    <row r="90" spans="1:29">
      <c r="B90" s="7" t="s">
        <v>233</v>
      </c>
      <c r="C90" s="8">
        <v>28067827</v>
      </c>
      <c r="D90" s="7">
        <v>11</v>
      </c>
      <c r="E90" s="8">
        <f t="shared" ref="E90:E98" si="39">+C90*D90</f>
        <v>308746097</v>
      </c>
      <c r="F90" s="8">
        <v>28376848</v>
      </c>
      <c r="G90" s="7">
        <v>7</v>
      </c>
      <c r="H90" s="8">
        <f t="shared" ref="H90:H98" si="40">+F90*G90</f>
        <v>198637936</v>
      </c>
      <c r="I90" s="8">
        <v>28376848</v>
      </c>
      <c r="J90" s="7">
        <v>7</v>
      </c>
      <c r="K90" s="8">
        <f t="shared" ref="K90:K98" si="41">+I90*J90</f>
        <v>198637936</v>
      </c>
      <c r="L90" s="8">
        <v>28946523</v>
      </c>
      <c r="M90" s="7">
        <v>1</v>
      </c>
      <c r="N90" s="8">
        <f t="shared" ref="N90:N98" si="42">+L90*M90</f>
        <v>28946523</v>
      </c>
      <c r="Q90" s="7" t="s">
        <v>233</v>
      </c>
      <c r="R90" s="8">
        <v>28067827</v>
      </c>
      <c r="S90" s="7">
        <v>11</v>
      </c>
      <c r="T90" s="8">
        <f t="shared" ref="T90:T98" si="43">+R90*S90</f>
        <v>308746097</v>
      </c>
      <c r="U90" s="8">
        <v>28376848</v>
      </c>
      <c r="V90" s="7">
        <v>7</v>
      </c>
      <c r="W90" s="8">
        <f t="shared" ref="W90:W98" si="44">+U90*V90</f>
        <v>198637936</v>
      </c>
      <c r="X90" s="8">
        <v>28376848</v>
      </c>
      <c r="Y90" s="7">
        <v>7</v>
      </c>
      <c r="Z90" s="8">
        <f t="shared" ref="Z90:Z98" si="45">+X90*Y90</f>
        <v>198637936</v>
      </c>
      <c r="AA90" s="8">
        <v>28946523</v>
      </c>
      <c r="AB90" s="7">
        <v>1</v>
      </c>
      <c r="AC90" s="8">
        <f t="shared" ref="AC90:AC98" si="46">+AA90*AB90</f>
        <v>28946523</v>
      </c>
    </row>
    <row r="91" spans="1:29">
      <c r="B91" s="7" t="s">
        <v>234</v>
      </c>
      <c r="C91" s="8">
        <v>6189120</v>
      </c>
      <c r="D91" s="7">
        <v>11</v>
      </c>
      <c r="E91" s="8">
        <f t="shared" si="39"/>
        <v>68080320</v>
      </c>
      <c r="F91" s="8">
        <v>8316630</v>
      </c>
      <c r="G91" s="7">
        <v>7</v>
      </c>
      <c r="H91" s="8">
        <f t="shared" si="40"/>
        <v>58216410</v>
      </c>
      <c r="I91" s="8">
        <v>8316630</v>
      </c>
      <c r="J91" s="7">
        <v>7</v>
      </c>
      <c r="K91" s="8">
        <f t="shared" si="41"/>
        <v>58216410</v>
      </c>
      <c r="L91" s="8">
        <v>8703450</v>
      </c>
      <c r="M91" s="7">
        <v>1</v>
      </c>
      <c r="N91" s="8">
        <f t="shared" si="42"/>
        <v>8703450</v>
      </c>
      <c r="Q91" s="7" t="s">
        <v>234</v>
      </c>
      <c r="R91" s="8">
        <v>6189120</v>
      </c>
      <c r="S91" s="7">
        <v>11</v>
      </c>
      <c r="T91" s="8">
        <f t="shared" si="43"/>
        <v>68080320</v>
      </c>
      <c r="U91" s="8">
        <v>8316630</v>
      </c>
      <c r="V91" s="7">
        <v>7</v>
      </c>
      <c r="W91" s="8">
        <f t="shared" si="44"/>
        <v>58216410</v>
      </c>
      <c r="X91" s="8">
        <v>8316630</v>
      </c>
      <c r="Y91" s="7">
        <v>7</v>
      </c>
      <c r="Z91" s="8">
        <f t="shared" si="45"/>
        <v>58216410</v>
      </c>
      <c r="AA91" s="8">
        <v>8703450</v>
      </c>
      <c r="AB91" s="7">
        <v>1</v>
      </c>
      <c r="AC91" s="8">
        <f t="shared" si="46"/>
        <v>8703450</v>
      </c>
    </row>
    <row r="92" spans="1:29">
      <c r="B92" s="7" t="s">
        <v>235</v>
      </c>
      <c r="C92" s="8">
        <v>6500</v>
      </c>
      <c r="D92" s="7">
        <v>0</v>
      </c>
      <c r="E92" s="8">
        <f t="shared" si="39"/>
        <v>0</v>
      </c>
      <c r="F92" s="8">
        <v>6500</v>
      </c>
      <c r="G92" s="7">
        <v>0</v>
      </c>
      <c r="H92" s="8">
        <f t="shared" si="40"/>
        <v>0</v>
      </c>
      <c r="I92" s="8">
        <v>6500</v>
      </c>
      <c r="J92" s="7">
        <v>0</v>
      </c>
      <c r="K92" s="8">
        <f t="shared" si="41"/>
        <v>0</v>
      </c>
      <c r="L92" s="8">
        <v>6500</v>
      </c>
      <c r="M92" s="7">
        <v>0</v>
      </c>
      <c r="N92" s="8">
        <f t="shared" si="42"/>
        <v>0</v>
      </c>
      <c r="Q92" s="7" t="s">
        <v>235</v>
      </c>
      <c r="R92" s="8">
        <v>4500</v>
      </c>
      <c r="S92" s="7">
        <v>0</v>
      </c>
      <c r="T92" s="8">
        <f t="shared" si="43"/>
        <v>0</v>
      </c>
      <c r="U92" s="8">
        <v>4500</v>
      </c>
      <c r="V92" s="7">
        <v>0</v>
      </c>
      <c r="W92" s="8">
        <f t="shared" si="44"/>
        <v>0</v>
      </c>
      <c r="X92" s="8">
        <v>4500</v>
      </c>
      <c r="Y92" s="7">
        <v>0</v>
      </c>
      <c r="Z92" s="8">
        <f t="shared" si="45"/>
        <v>0</v>
      </c>
      <c r="AA92" s="8">
        <v>4500</v>
      </c>
      <c r="AB92" s="7">
        <v>0</v>
      </c>
      <c r="AC92" s="8">
        <f t="shared" si="46"/>
        <v>0</v>
      </c>
    </row>
    <row r="93" spans="1:29">
      <c r="B93" s="7" t="s">
        <v>236</v>
      </c>
      <c r="C93" s="8">
        <v>55000</v>
      </c>
      <c r="D93" s="7">
        <v>155</v>
      </c>
      <c r="E93" s="8">
        <f t="shared" si="39"/>
        <v>8525000</v>
      </c>
      <c r="F93" s="8">
        <v>55000</v>
      </c>
      <c r="G93" s="123">
        <f>G72</f>
        <v>174</v>
      </c>
      <c r="H93" s="8">
        <f t="shared" si="40"/>
        <v>9570000</v>
      </c>
      <c r="I93" s="8">
        <v>55000</v>
      </c>
      <c r="J93" s="123">
        <f>J72</f>
        <v>122.33333333333333</v>
      </c>
      <c r="K93" s="8">
        <f t="shared" si="41"/>
        <v>6728333.333333333</v>
      </c>
      <c r="L93" s="8">
        <v>55000</v>
      </c>
      <c r="M93" s="138">
        <v>62</v>
      </c>
      <c r="N93" s="8">
        <f t="shared" si="42"/>
        <v>3410000</v>
      </c>
      <c r="Q93" s="7" t="s">
        <v>236</v>
      </c>
      <c r="R93" s="8">
        <v>55000</v>
      </c>
      <c r="S93" s="7">
        <f>D93</f>
        <v>155</v>
      </c>
      <c r="T93" s="8">
        <f t="shared" si="43"/>
        <v>8525000</v>
      </c>
      <c r="U93" s="8">
        <v>55000</v>
      </c>
      <c r="V93" s="123">
        <f>G93</f>
        <v>174</v>
      </c>
      <c r="W93" s="8">
        <f t="shared" si="44"/>
        <v>9570000</v>
      </c>
      <c r="X93" s="8">
        <v>55000</v>
      </c>
      <c r="Y93" s="123">
        <f>J93</f>
        <v>122.33333333333333</v>
      </c>
      <c r="Z93" s="8">
        <f t="shared" si="45"/>
        <v>6728333.333333333</v>
      </c>
      <c r="AA93" s="8">
        <v>55000</v>
      </c>
      <c r="AB93" s="23">
        <v>62</v>
      </c>
      <c r="AC93" s="8">
        <f t="shared" si="46"/>
        <v>3410000</v>
      </c>
    </row>
    <row r="94" spans="1:29">
      <c r="B94" s="7" t="s">
        <v>237</v>
      </c>
      <c r="C94" s="8">
        <v>1100000</v>
      </c>
      <c r="D94" s="7">
        <v>3</v>
      </c>
      <c r="E94" s="8">
        <f t="shared" si="39"/>
        <v>3300000</v>
      </c>
      <c r="F94" s="8">
        <v>1100000</v>
      </c>
      <c r="G94" s="7">
        <v>1</v>
      </c>
      <c r="H94" s="8">
        <f t="shared" si="40"/>
        <v>1100000</v>
      </c>
      <c r="I94" s="8">
        <v>1100000</v>
      </c>
      <c r="J94" s="7">
        <v>2</v>
      </c>
      <c r="K94" s="8">
        <f t="shared" si="41"/>
        <v>2200000</v>
      </c>
      <c r="L94" s="8">
        <v>1100000</v>
      </c>
      <c r="M94" s="7">
        <v>3</v>
      </c>
      <c r="N94" s="8">
        <f t="shared" si="42"/>
        <v>3300000</v>
      </c>
      <c r="Q94" s="7" t="s">
        <v>237</v>
      </c>
      <c r="R94" s="8">
        <v>950000</v>
      </c>
      <c r="S94" s="7">
        <v>3</v>
      </c>
      <c r="T94" s="8">
        <f t="shared" si="43"/>
        <v>2850000</v>
      </c>
      <c r="U94" s="8">
        <v>950000</v>
      </c>
      <c r="V94" s="7">
        <v>1</v>
      </c>
      <c r="W94" s="8">
        <f t="shared" si="44"/>
        <v>950000</v>
      </c>
      <c r="X94" s="8">
        <v>950000</v>
      </c>
      <c r="Y94" s="7">
        <v>2</v>
      </c>
      <c r="Z94" s="8">
        <f t="shared" si="45"/>
        <v>1900000</v>
      </c>
      <c r="AA94" s="8">
        <v>950000</v>
      </c>
      <c r="AB94" s="7">
        <v>3</v>
      </c>
      <c r="AC94" s="8">
        <f t="shared" si="46"/>
        <v>2850000</v>
      </c>
    </row>
    <row r="95" spans="1:29">
      <c r="B95" s="7" t="s">
        <v>238</v>
      </c>
      <c r="C95" s="8">
        <v>850000</v>
      </c>
      <c r="D95" s="7">
        <v>0</v>
      </c>
      <c r="E95" s="8">
        <f t="shared" si="39"/>
        <v>0</v>
      </c>
      <c r="F95" s="8">
        <v>850000</v>
      </c>
      <c r="G95" s="7">
        <v>0</v>
      </c>
      <c r="H95" s="8">
        <f t="shared" si="40"/>
        <v>0</v>
      </c>
      <c r="I95" s="8">
        <v>850000</v>
      </c>
      <c r="J95" s="7">
        <v>0</v>
      </c>
      <c r="K95" s="8">
        <f t="shared" si="41"/>
        <v>0</v>
      </c>
      <c r="L95" s="8">
        <v>850000</v>
      </c>
      <c r="M95" s="7">
        <v>0</v>
      </c>
      <c r="N95" s="8">
        <f t="shared" si="42"/>
        <v>0</v>
      </c>
      <c r="Q95" s="7" t="s">
        <v>238</v>
      </c>
      <c r="R95" s="8">
        <v>800000</v>
      </c>
      <c r="S95" s="7">
        <v>0</v>
      </c>
      <c r="T95" s="8">
        <f t="shared" si="43"/>
        <v>0</v>
      </c>
      <c r="U95" s="8">
        <v>800000</v>
      </c>
      <c r="V95" s="7">
        <v>0</v>
      </c>
      <c r="W95" s="8">
        <f t="shared" si="44"/>
        <v>0</v>
      </c>
      <c r="X95" s="8">
        <v>800000</v>
      </c>
      <c r="Y95" s="7">
        <v>0</v>
      </c>
      <c r="Z95" s="8">
        <f t="shared" si="45"/>
        <v>0</v>
      </c>
      <c r="AA95" s="8">
        <v>800000</v>
      </c>
      <c r="AB95" s="7">
        <v>0</v>
      </c>
      <c r="AC95" s="8">
        <f t="shared" si="46"/>
        <v>0</v>
      </c>
    </row>
    <row r="96" spans="1:29">
      <c r="B96" s="7" t="s">
        <v>239</v>
      </c>
      <c r="C96" s="8">
        <v>300000</v>
      </c>
      <c r="D96" s="7">
        <v>0</v>
      </c>
      <c r="E96" s="8">
        <f t="shared" si="39"/>
        <v>0</v>
      </c>
      <c r="F96" s="8">
        <v>300000</v>
      </c>
      <c r="G96" s="7">
        <v>0</v>
      </c>
      <c r="H96" s="8">
        <f t="shared" si="40"/>
        <v>0</v>
      </c>
      <c r="I96" s="8">
        <v>300000</v>
      </c>
      <c r="J96" s="7">
        <v>0</v>
      </c>
      <c r="K96" s="8">
        <f t="shared" si="41"/>
        <v>0</v>
      </c>
      <c r="L96" s="8">
        <v>300000</v>
      </c>
      <c r="M96" s="7">
        <v>0</v>
      </c>
      <c r="N96" s="8">
        <f t="shared" si="42"/>
        <v>0</v>
      </c>
      <c r="Q96" s="7" t="s">
        <v>239</v>
      </c>
      <c r="R96" s="8">
        <v>300000</v>
      </c>
      <c r="S96" s="7">
        <v>0</v>
      </c>
      <c r="T96" s="8">
        <f t="shared" si="43"/>
        <v>0</v>
      </c>
      <c r="U96" s="8">
        <v>300000</v>
      </c>
      <c r="V96" s="7">
        <v>0</v>
      </c>
      <c r="W96" s="8">
        <f t="shared" si="44"/>
        <v>0</v>
      </c>
      <c r="X96" s="8">
        <v>300000</v>
      </c>
      <c r="Y96" s="7">
        <v>0</v>
      </c>
      <c r="Z96" s="8">
        <f t="shared" si="45"/>
        <v>0</v>
      </c>
      <c r="AA96" s="8">
        <v>300000</v>
      </c>
      <c r="AB96" s="7">
        <v>0</v>
      </c>
      <c r="AC96" s="8">
        <f t="shared" si="46"/>
        <v>0</v>
      </c>
    </row>
    <row r="97" spans="1:29">
      <c r="B97" s="7" t="s">
        <v>240</v>
      </c>
      <c r="C97" s="8">
        <v>500000</v>
      </c>
      <c r="D97" s="7">
        <v>0</v>
      </c>
      <c r="E97" s="8">
        <f t="shared" si="39"/>
        <v>0</v>
      </c>
      <c r="F97" s="8">
        <v>500000</v>
      </c>
      <c r="G97" s="7">
        <v>0</v>
      </c>
      <c r="H97" s="8">
        <f t="shared" si="40"/>
        <v>0</v>
      </c>
      <c r="I97" s="8">
        <v>500000</v>
      </c>
      <c r="J97" s="7">
        <v>0</v>
      </c>
      <c r="K97" s="8">
        <f t="shared" si="41"/>
        <v>0</v>
      </c>
      <c r="L97" s="8">
        <v>500000</v>
      </c>
      <c r="M97" s="7">
        <v>0</v>
      </c>
      <c r="N97" s="8">
        <f t="shared" si="42"/>
        <v>0</v>
      </c>
      <c r="Q97" s="7" t="s">
        <v>240</v>
      </c>
      <c r="R97" s="8">
        <v>500000</v>
      </c>
      <c r="S97" s="7">
        <v>0</v>
      </c>
      <c r="T97" s="8">
        <f t="shared" si="43"/>
        <v>0</v>
      </c>
      <c r="U97" s="8">
        <v>500000</v>
      </c>
      <c r="V97" s="7">
        <v>0</v>
      </c>
      <c r="W97" s="8">
        <f t="shared" si="44"/>
        <v>0</v>
      </c>
      <c r="X97" s="8">
        <v>500000</v>
      </c>
      <c r="Y97" s="7">
        <v>0</v>
      </c>
      <c r="Z97" s="8">
        <f t="shared" si="45"/>
        <v>0</v>
      </c>
      <c r="AA97" s="8">
        <v>500000</v>
      </c>
      <c r="AB97" s="7">
        <v>0</v>
      </c>
      <c r="AC97" s="8">
        <f t="shared" si="46"/>
        <v>0</v>
      </c>
    </row>
    <row r="98" spans="1:29">
      <c r="B98" s="7" t="s">
        <v>241</v>
      </c>
      <c r="C98" s="8">
        <v>520000</v>
      </c>
      <c r="D98" s="7">
        <v>0</v>
      </c>
      <c r="E98" s="8">
        <f t="shared" si="39"/>
        <v>0</v>
      </c>
      <c r="F98" s="8">
        <v>520000</v>
      </c>
      <c r="G98" s="7">
        <v>0</v>
      </c>
      <c r="H98" s="8">
        <f t="shared" si="40"/>
        <v>0</v>
      </c>
      <c r="I98" s="8">
        <v>520000</v>
      </c>
      <c r="J98" s="7">
        <v>0</v>
      </c>
      <c r="K98" s="8">
        <f t="shared" si="41"/>
        <v>0</v>
      </c>
      <c r="L98" s="8">
        <v>520000</v>
      </c>
      <c r="M98" s="7">
        <v>0</v>
      </c>
      <c r="N98" s="8">
        <f t="shared" si="42"/>
        <v>0</v>
      </c>
      <c r="Q98" s="7" t="s">
        <v>241</v>
      </c>
      <c r="R98" s="8">
        <v>360000</v>
      </c>
      <c r="S98" s="7">
        <v>0</v>
      </c>
      <c r="T98" s="8">
        <f t="shared" si="43"/>
        <v>0</v>
      </c>
      <c r="U98" s="8">
        <v>360000</v>
      </c>
      <c r="V98" s="7">
        <v>0</v>
      </c>
      <c r="W98" s="8">
        <f t="shared" si="44"/>
        <v>0</v>
      </c>
      <c r="X98" s="8">
        <v>360000</v>
      </c>
      <c r="Y98" s="7">
        <v>0</v>
      </c>
      <c r="Z98" s="8">
        <f t="shared" si="45"/>
        <v>0</v>
      </c>
      <c r="AA98" s="8">
        <v>360000</v>
      </c>
      <c r="AB98" s="7">
        <v>0</v>
      </c>
      <c r="AC98" s="8">
        <f t="shared" si="46"/>
        <v>0</v>
      </c>
    </row>
    <row r="99" spans="1:29">
      <c r="B99" s="9"/>
      <c r="C99" s="9"/>
      <c r="D99" s="6" t="s">
        <v>48</v>
      </c>
      <c r="E99" s="10">
        <f>SUM(E90:E98)</f>
        <v>388651417</v>
      </c>
      <c r="F99" s="10"/>
      <c r="G99" s="6" t="s">
        <v>48</v>
      </c>
      <c r="H99" s="10">
        <f>SUM(H90:H98)</f>
        <v>267524346</v>
      </c>
      <c r="I99" s="10"/>
      <c r="J99" s="6" t="s">
        <v>48</v>
      </c>
      <c r="K99" s="10">
        <f>SUM(K90:K98)</f>
        <v>265782679.33333334</v>
      </c>
      <c r="L99" s="8"/>
      <c r="M99" s="7"/>
      <c r="N99" s="10">
        <f>SUM(N90:N98)</f>
        <v>44359973</v>
      </c>
      <c r="Q99" s="9"/>
      <c r="R99" s="9"/>
      <c r="S99" s="6" t="s">
        <v>48</v>
      </c>
      <c r="T99" s="10">
        <f>SUM(T90:T98)</f>
        <v>388201417</v>
      </c>
      <c r="U99" s="9"/>
      <c r="V99" s="6" t="s">
        <v>48</v>
      </c>
      <c r="W99" s="15">
        <f>SUM(W90:W98)</f>
        <v>267374346</v>
      </c>
      <c r="X99" s="9"/>
      <c r="Y99" s="6" t="s">
        <v>48</v>
      </c>
      <c r="Z99" s="10">
        <f>SUM(Z90:Z98)</f>
        <v>265482679.33333334</v>
      </c>
      <c r="AA99" s="8"/>
      <c r="AB99" s="7"/>
      <c r="AC99" s="10">
        <f>SUM(AC90:AC98)</f>
        <v>43909973</v>
      </c>
    </row>
    <row r="100" spans="1:29">
      <c r="K100" s="14"/>
      <c r="L100" s="14"/>
      <c r="M100" s="14"/>
      <c r="N100" s="14"/>
      <c r="Z100" s="14"/>
      <c r="AB100" s="14"/>
      <c r="AC100" s="14"/>
    </row>
    <row r="101" spans="1:29">
      <c r="E101" s="117"/>
      <c r="G101" t="s">
        <v>265</v>
      </c>
      <c r="H101" s="127">
        <f>(E99+H99+K99+N99+N32)/27</f>
        <v>37219884.938271604</v>
      </c>
      <c r="K101" s="14"/>
      <c r="L101" s="14"/>
      <c r="M101" s="14"/>
      <c r="N101" s="14"/>
      <c r="Z101" s="14"/>
    </row>
    <row r="102" spans="1:29">
      <c r="W102" t="s">
        <v>265</v>
      </c>
      <c r="X102" s="127">
        <f>(T99+W99+Z99+AC99+N33)/27</f>
        <v>37167107.160493828</v>
      </c>
    </row>
    <row r="103" spans="1:29" ht="15.75">
      <c r="B103" s="57" t="s">
        <v>5</v>
      </c>
      <c r="C103" s="57" t="s">
        <v>266</v>
      </c>
      <c r="D103" s="57" t="s">
        <v>267</v>
      </c>
      <c r="E103" s="58" t="s">
        <v>268</v>
      </c>
    </row>
    <row r="104" spans="1:29" ht="15.75">
      <c r="B104" s="57" t="s">
        <v>10</v>
      </c>
      <c r="C104" s="57">
        <v>1</v>
      </c>
      <c r="D104" s="57">
        <f t="shared" ref="D104:D106" si="47">C104*22</f>
        <v>22</v>
      </c>
      <c r="E104" s="60" t="s">
        <v>269</v>
      </c>
    </row>
    <row r="105" spans="1:29" ht="15.75">
      <c r="B105" s="57" t="s">
        <v>15</v>
      </c>
      <c r="C105" s="57">
        <f>40*3/60</f>
        <v>2</v>
      </c>
      <c r="D105" s="57">
        <f t="shared" si="47"/>
        <v>44</v>
      </c>
      <c r="E105" s="60" t="s">
        <v>271</v>
      </c>
    </row>
    <row r="106" spans="1:29" ht="15.75">
      <c r="B106" s="57" t="s">
        <v>17</v>
      </c>
      <c r="C106" s="57">
        <f>40/60</f>
        <v>0.66666666666666663</v>
      </c>
      <c r="D106" s="57">
        <f t="shared" si="47"/>
        <v>14.666666666666666</v>
      </c>
      <c r="E106" s="60" t="s">
        <v>274</v>
      </c>
    </row>
    <row r="107" spans="1:29">
      <c r="D107" s="133">
        <f>SUM(D104:D106)</f>
        <v>80.666666666666671</v>
      </c>
    </row>
    <row r="110" spans="1:29">
      <c r="B110" t="s">
        <v>97</v>
      </c>
      <c r="D110" t="s">
        <v>98</v>
      </c>
    </row>
    <row r="111" spans="1:29">
      <c r="A111" s="7"/>
      <c r="B111" s="257" t="s">
        <v>350</v>
      </c>
      <c r="C111" s="257" t="s">
        <v>351</v>
      </c>
      <c r="D111" s="257"/>
      <c r="E111" s="257"/>
    </row>
    <row r="112" spans="1:29">
      <c r="A112" s="7" t="s">
        <v>352</v>
      </c>
      <c r="B112" s="7"/>
      <c r="C112" s="7"/>
      <c r="D112" s="7"/>
      <c r="E112" s="7"/>
    </row>
    <row r="113" spans="1:5">
      <c r="A113" s="7" t="s">
        <v>353</v>
      </c>
      <c r="B113" s="7"/>
      <c r="C113" s="7"/>
      <c r="D113" s="7"/>
      <c r="E113" s="7"/>
    </row>
  </sheetData>
  <mergeCells count="58">
    <mergeCell ref="B88:B89"/>
    <mergeCell ref="Q4:Q5"/>
    <mergeCell ref="Q20:Q21"/>
    <mergeCell ref="Q36:Q37"/>
    <mergeCell ref="Q51:Q52"/>
    <mergeCell ref="Q67:Q68"/>
    <mergeCell ref="Q88:Q89"/>
    <mergeCell ref="B4:B5"/>
    <mergeCell ref="B20:B21"/>
    <mergeCell ref="B36:B37"/>
    <mergeCell ref="B51:B52"/>
    <mergeCell ref="B67:B68"/>
    <mergeCell ref="U67:W67"/>
    <mergeCell ref="X67:Z67"/>
    <mergeCell ref="AA67:AC67"/>
    <mergeCell ref="C88:E88"/>
    <mergeCell ref="F88:H88"/>
    <mergeCell ref="I88:K88"/>
    <mergeCell ref="L88:N88"/>
    <mergeCell ref="R88:T88"/>
    <mergeCell ref="U88:W88"/>
    <mergeCell ref="X88:Z88"/>
    <mergeCell ref="AA88:AC88"/>
    <mergeCell ref="C67:E67"/>
    <mergeCell ref="F67:H67"/>
    <mergeCell ref="I67:K67"/>
    <mergeCell ref="L67:N67"/>
    <mergeCell ref="R67:T67"/>
    <mergeCell ref="U36:W36"/>
    <mergeCell ref="X36:Z36"/>
    <mergeCell ref="AA36:AC36"/>
    <mergeCell ref="C51:E51"/>
    <mergeCell ref="F51:H51"/>
    <mergeCell ref="I51:K51"/>
    <mergeCell ref="L51:N51"/>
    <mergeCell ref="R51:T51"/>
    <mergeCell ref="U51:W51"/>
    <mergeCell ref="X51:Z51"/>
    <mergeCell ref="AA51:AC51"/>
    <mergeCell ref="C36:E36"/>
    <mergeCell ref="F36:H36"/>
    <mergeCell ref="I36:K36"/>
    <mergeCell ref="L36:N36"/>
    <mergeCell ref="R36:T36"/>
    <mergeCell ref="U4:W4"/>
    <mergeCell ref="X4:Z4"/>
    <mergeCell ref="C20:E20"/>
    <mergeCell ref="F20:H20"/>
    <mergeCell ref="I20:K20"/>
    <mergeCell ref="L20:N20"/>
    <mergeCell ref="R20:T20"/>
    <mergeCell ref="U20:W20"/>
    <mergeCell ref="X20:Z20"/>
    <mergeCell ref="C4:E4"/>
    <mergeCell ref="F4:H4"/>
    <mergeCell ref="I4:K4"/>
    <mergeCell ref="L4:N4"/>
    <mergeCell ref="R4:T4"/>
  </mergeCells>
  <pageMargins left="0.7" right="0.7" top="0.75" bottom="0.75" header="0.3" footer="0.3"/>
  <pageSetup paperSize="9" scale="34" fitToHeight="0" orientation="landscape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115"/>
  <sheetViews>
    <sheetView showGridLines="0" topLeftCell="A34" zoomScale="85" zoomScaleNormal="85" workbookViewId="0">
      <selection activeCell="L58" sqref="L58"/>
    </sheetView>
  </sheetViews>
  <sheetFormatPr defaultColWidth="9" defaultRowHeight="15"/>
  <cols>
    <col min="2" max="2" width="27.28515625" customWidth="1"/>
    <col min="3" max="3" width="14.5703125" customWidth="1"/>
    <col min="4" max="4" width="8.85546875" customWidth="1"/>
    <col min="5" max="5" width="15.7109375" customWidth="1"/>
    <col min="6" max="6" width="14.5703125" customWidth="1"/>
    <col min="7" max="7" width="8" customWidth="1"/>
    <col min="8" max="8" width="15.7109375" customWidth="1"/>
    <col min="9" max="9" width="14.5703125" customWidth="1"/>
    <col min="10" max="10" width="8.28515625" customWidth="1"/>
    <col min="11" max="11" width="15.7109375" customWidth="1"/>
    <col min="14" max="14" width="22.85546875" customWidth="1"/>
    <col min="15" max="15" width="14.5703125" customWidth="1"/>
    <col min="16" max="16" width="8.85546875" customWidth="1"/>
    <col min="17" max="17" width="15.7109375" customWidth="1"/>
    <col min="18" max="18" width="14.5703125" customWidth="1"/>
    <col min="19" max="19" width="8" customWidth="1"/>
    <col min="20" max="20" width="15.7109375" customWidth="1"/>
    <col min="21" max="21" width="14.5703125" customWidth="1"/>
    <col min="22" max="22" width="8.28515625" customWidth="1"/>
    <col min="23" max="23" width="15.7109375" customWidth="1"/>
  </cols>
  <sheetData>
    <row r="2" spans="2:23" ht="15.75">
      <c r="B2" s="2" t="s">
        <v>227</v>
      </c>
      <c r="C2" t="s">
        <v>277</v>
      </c>
      <c r="F2" t="s">
        <v>278</v>
      </c>
      <c r="I2" t="s">
        <v>279</v>
      </c>
      <c r="N2" s="2"/>
    </row>
    <row r="3" spans="2:23">
      <c r="B3" s="354" t="s">
        <v>3</v>
      </c>
      <c r="C3" s="268" t="s">
        <v>10</v>
      </c>
      <c r="D3" s="347"/>
      <c r="E3" s="269"/>
      <c r="F3" s="268" t="s">
        <v>15</v>
      </c>
      <c r="G3" s="347"/>
      <c r="H3" s="269"/>
      <c r="I3" s="268" t="s">
        <v>17</v>
      </c>
      <c r="J3" s="347"/>
      <c r="K3" s="269"/>
      <c r="N3" s="354" t="s">
        <v>4</v>
      </c>
      <c r="O3" s="268" t="s">
        <v>10</v>
      </c>
      <c r="P3" s="347"/>
      <c r="Q3" s="269"/>
      <c r="R3" s="268" t="s">
        <v>15</v>
      </c>
      <c r="S3" s="347"/>
      <c r="T3" s="269"/>
      <c r="U3" s="268" t="s">
        <v>17</v>
      </c>
      <c r="V3" s="347"/>
      <c r="W3" s="269"/>
    </row>
    <row r="4" spans="2:23">
      <c r="B4" s="355"/>
      <c r="C4" s="5" t="s">
        <v>180</v>
      </c>
      <c r="D4" s="6" t="s">
        <v>41</v>
      </c>
      <c r="E4" s="6" t="s">
        <v>44</v>
      </c>
      <c r="F4" s="5" t="s">
        <v>180</v>
      </c>
      <c r="G4" s="6" t="s">
        <v>41</v>
      </c>
      <c r="H4" s="6" t="s">
        <v>44</v>
      </c>
      <c r="I4" s="5" t="s">
        <v>180</v>
      </c>
      <c r="J4" s="6" t="s">
        <v>41</v>
      </c>
      <c r="K4" s="6" t="s">
        <v>44</v>
      </c>
      <c r="N4" s="355"/>
      <c r="O4" s="5" t="s">
        <v>180</v>
      </c>
      <c r="P4" s="6" t="s">
        <v>41</v>
      </c>
      <c r="Q4" s="6" t="s">
        <v>44</v>
      </c>
      <c r="R4" s="5" t="s">
        <v>180</v>
      </c>
      <c r="S4" s="6" t="s">
        <v>41</v>
      </c>
      <c r="T4" s="6" t="s">
        <v>44</v>
      </c>
      <c r="U4" s="5" t="s">
        <v>180</v>
      </c>
      <c r="V4" s="6" t="s">
        <v>41</v>
      </c>
      <c r="W4" s="6" t="s">
        <v>44</v>
      </c>
    </row>
    <row r="5" spans="2:23">
      <c r="B5" s="7" t="s">
        <v>233</v>
      </c>
      <c r="C5" s="8">
        <v>32025000</v>
      </c>
      <c r="D5" s="7">
        <v>1</v>
      </c>
      <c r="E5" s="8">
        <f t="shared" ref="E5:E13" si="0">+C5*D5</f>
        <v>32025000</v>
      </c>
      <c r="F5" s="8">
        <v>33016000</v>
      </c>
      <c r="G5" s="7">
        <v>1</v>
      </c>
      <c r="H5" s="8">
        <f t="shared" ref="H5:H13" si="1">+F5*G5</f>
        <v>33016000</v>
      </c>
      <c r="I5" s="8">
        <v>32476250</v>
      </c>
      <c r="J5" s="7">
        <v>1</v>
      </c>
      <c r="K5" s="8">
        <f t="shared" ref="K5:K13" si="2">+I5*J5</f>
        <v>32476250</v>
      </c>
      <c r="N5" s="7" t="s">
        <v>233</v>
      </c>
      <c r="O5" s="8"/>
      <c r="P5" s="7"/>
      <c r="Q5" s="8">
        <f t="shared" ref="Q5:Q13" si="3">+O5*P5</f>
        <v>0</v>
      </c>
      <c r="R5" s="8"/>
      <c r="S5" s="7"/>
      <c r="T5" s="8">
        <f t="shared" ref="T5:T13" si="4">+R5*S5</f>
        <v>0</v>
      </c>
      <c r="U5" s="8"/>
      <c r="V5" s="7"/>
      <c r="W5" s="8">
        <f t="shared" ref="W5:W13" si="5">+U5*V5</f>
        <v>0</v>
      </c>
    </row>
    <row r="6" spans="2:23">
      <c r="B6" s="7" t="s">
        <v>234</v>
      </c>
      <c r="C6" s="8">
        <v>9722746.3499999996</v>
      </c>
      <c r="D6" s="7">
        <v>1</v>
      </c>
      <c r="E6" s="8">
        <f t="shared" si="0"/>
        <v>9722746.3499999996</v>
      </c>
      <c r="F6" s="8">
        <v>13380021</v>
      </c>
      <c r="G6" s="7">
        <v>1</v>
      </c>
      <c r="H6" s="8">
        <f t="shared" si="1"/>
        <v>13380021</v>
      </c>
      <c r="I6" s="8">
        <v>11071427.75</v>
      </c>
      <c r="J6" s="7">
        <v>1</v>
      </c>
      <c r="K6" s="8">
        <f t="shared" si="2"/>
        <v>11071427.75</v>
      </c>
      <c r="N6" s="7" t="s">
        <v>234</v>
      </c>
      <c r="O6" s="8"/>
      <c r="P6" s="7"/>
      <c r="Q6" s="8">
        <f t="shared" si="3"/>
        <v>0</v>
      </c>
      <c r="R6" s="8"/>
      <c r="S6" s="7"/>
      <c r="T6" s="8">
        <f t="shared" si="4"/>
        <v>0</v>
      </c>
      <c r="U6" s="8"/>
      <c r="V6" s="7"/>
      <c r="W6" s="8">
        <f t="shared" si="5"/>
        <v>0</v>
      </c>
    </row>
    <row r="7" spans="2:23">
      <c r="B7" s="7" t="s">
        <v>235</v>
      </c>
      <c r="C7" s="8">
        <v>6600</v>
      </c>
      <c r="D7" s="7">
        <v>0</v>
      </c>
      <c r="E7" s="8">
        <f t="shared" si="0"/>
        <v>0</v>
      </c>
      <c r="F7" s="8">
        <v>6600</v>
      </c>
      <c r="G7" s="7">
        <v>0</v>
      </c>
      <c r="H7" s="8">
        <f t="shared" si="1"/>
        <v>0</v>
      </c>
      <c r="I7" s="8">
        <v>6600</v>
      </c>
      <c r="J7" s="7">
        <v>300</v>
      </c>
      <c r="K7" s="8">
        <f t="shared" si="2"/>
        <v>1980000</v>
      </c>
      <c r="N7" s="7" t="s">
        <v>235</v>
      </c>
      <c r="O7" s="8"/>
      <c r="P7" s="7"/>
      <c r="Q7" s="8">
        <f t="shared" si="3"/>
        <v>0</v>
      </c>
      <c r="R7" s="8"/>
      <c r="S7" s="7"/>
      <c r="T7" s="8">
        <f t="shared" si="4"/>
        <v>0</v>
      </c>
      <c r="U7" s="8"/>
      <c r="V7" s="7"/>
      <c r="W7" s="8">
        <f t="shared" si="5"/>
        <v>0</v>
      </c>
    </row>
    <row r="8" spans="2:23">
      <c r="B8" s="7" t="s">
        <v>236</v>
      </c>
      <c r="C8" s="8">
        <v>80300</v>
      </c>
      <c r="D8" s="7">
        <v>19</v>
      </c>
      <c r="E8" s="8">
        <f t="shared" si="0"/>
        <v>1525700</v>
      </c>
      <c r="F8" s="8">
        <v>80300</v>
      </c>
      <c r="G8" s="7">
        <v>41</v>
      </c>
      <c r="H8" s="8">
        <f t="shared" si="1"/>
        <v>3292300</v>
      </c>
      <c r="I8" s="8">
        <v>80300</v>
      </c>
      <c r="J8" s="7">
        <v>12</v>
      </c>
      <c r="K8" s="8">
        <f t="shared" si="2"/>
        <v>963600</v>
      </c>
      <c r="N8" s="7" t="s">
        <v>236</v>
      </c>
      <c r="O8" s="8"/>
      <c r="P8" s="7"/>
      <c r="Q8" s="8">
        <f t="shared" si="3"/>
        <v>0</v>
      </c>
      <c r="R8" s="8"/>
      <c r="S8" s="7"/>
      <c r="T8" s="8">
        <f t="shared" si="4"/>
        <v>0</v>
      </c>
      <c r="U8" s="8"/>
      <c r="V8" s="7"/>
      <c r="W8" s="8">
        <f t="shared" si="5"/>
        <v>0</v>
      </c>
    </row>
    <row r="9" spans="2:23">
      <c r="B9" s="7" t="s">
        <v>237</v>
      </c>
      <c r="C9" s="8">
        <v>1000000</v>
      </c>
      <c r="D9" s="7">
        <v>0.5</v>
      </c>
      <c r="E9" s="8">
        <f t="shared" si="0"/>
        <v>500000</v>
      </c>
      <c r="F9" s="8">
        <v>1000000</v>
      </c>
      <c r="G9" s="7">
        <v>0.5</v>
      </c>
      <c r="H9" s="8">
        <f t="shared" si="1"/>
        <v>500000</v>
      </c>
      <c r="I9" s="8">
        <v>1000000</v>
      </c>
      <c r="J9" s="7">
        <v>1</v>
      </c>
      <c r="K9" s="8">
        <f t="shared" si="2"/>
        <v>1000000</v>
      </c>
      <c r="N9" s="7" t="s">
        <v>237</v>
      </c>
      <c r="O9" s="8"/>
      <c r="P9" s="7"/>
      <c r="Q9" s="8">
        <f t="shared" si="3"/>
        <v>0</v>
      </c>
      <c r="R9" s="8"/>
      <c r="S9" s="7"/>
      <c r="T9" s="8">
        <f t="shared" si="4"/>
        <v>0</v>
      </c>
      <c r="U9" s="8"/>
      <c r="V9" s="7"/>
      <c r="W9" s="8">
        <f t="shared" si="5"/>
        <v>0</v>
      </c>
    </row>
    <row r="10" spans="2:23">
      <c r="B10" s="7" t="s">
        <v>238</v>
      </c>
      <c r="C10" s="8">
        <v>500000</v>
      </c>
      <c r="D10" s="7">
        <v>0</v>
      </c>
      <c r="E10" s="8">
        <f t="shared" si="0"/>
        <v>0</v>
      </c>
      <c r="F10" s="8">
        <v>500000</v>
      </c>
      <c r="G10" s="7">
        <v>0</v>
      </c>
      <c r="H10" s="8">
        <f t="shared" si="1"/>
        <v>0</v>
      </c>
      <c r="I10" s="8">
        <v>500000</v>
      </c>
      <c r="J10" s="7">
        <v>0</v>
      </c>
      <c r="K10" s="8">
        <f t="shared" si="2"/>
        <v>0</v>
      </c>
      <c r="N10" s="7" t="s">
        <v>238</v>
      </c>
      <c r="O10" s="8"/>
      <c r="P10" s="7"/>
      <c r="Q10" s="8">
        <f t="shared" si="3"/>
        <v>0</v>
      </c>
      <c r="R10" s="8"/>
      <c r="S10" s="7"/>
      <c r="T10" s="8">
        <f t="shared" si="4"/>
        <v>0</v>
      </c>
      <c r="U10" s="8"/>
      <c r="V10" s="7"/>
      <c r="W10" s="8">
        <f t="shared" si="5"/>
        <v>0</v>
      </c>
    </row>
    <row r="11" spans="2:23">
      <c r="B11" s="7" t="s">
        <v>239</v>
      </c>
      <c r="C11" s="8">
        <v>420000</v>
      </c>
      <c r="D11" s="7">
        <v>0</v>
      </c>
      <c r="E11" s="8">
        <f t="shared" si="0"/>
        <v>0</v>
      </c>
      <c r="F11" s="8">
        <v>420000</v>
      </c>
      <c r="G11" s="7">
        <v>0</v>
      </c>
      <c r="H11" s="8">
        <f t="shared" si="1"/>
        <v>0</v>
      </c>
      <c r="I11" s="8">
        <v>420000</v>
      </c>
      <c r="J11" s="7">
        <v>0</v>
      </c>
      <c r="K11" s="8">
        <f t="shared" si="2"/>
        <v>0</v>
      </c>
      <c r="N11" s="7" t="s">
        <v>239</v>
      </c>
      <c r="O11" s="8"/>
      <c r="P11" s="7"/>
      <c r="Q11" s="8">
        <f t="shared" si="3"/>
        <v>0</v>
      </c>
      <c r="R11" s="8"/>
      <c r="S11" s="7"/>
      <c r="T11" s="8">
        <f t="shared" si="4"/>
        <v>0</v>
      </c>
      <c r="U11" s="8"/>
      <c r="V11" s="7"/>
      <c r="W11" s="8">
        <f t="shared" si="5"/>
        <v>0</v>
      </c>
    </row>
    <row r="12" spans="2:23">
      <c r="B12" s="7" t="s">
        <v>240</v>
      </c>
      <c r="C12" s="8">
        <v>450000</v>
      </c>
      <c r="D12" s="7">
        <v>0</v>
      </c>
      <c r="E12" s="8">
        <f t="shared" si="0"/>
        <v>0</v>
      </c>
      <c r="F12" s="8">
        <v>450000</v>
      </c>
      <c r="G12" s="7">
        <v>0</v>
      </c>
      <c r="H12" s="8">
        <f t="shared" si="1"/>
        <v>0</v>
      </c>
      <c r="I12" s="8">
        <v>450000</v>
      </c>
      <c r="J12" s="7">
        <v>0</v>
      </c>
      <c r="K12" s="8">
        <f t="shared" si="2"/>
        <v>0</v>
      </c>
      <c r="N12" s="7" t="s">
        <v>240</v>
      </c>
      <c r="O12" s="8"/>
      <c r="P12" s="7"/>
      <c r="Q12" s="8">
        <f t="shared" si="3"/>
        <v>0</v>
      </c>
      <c r="R12" s="8"/>
      <c r="S12" s="7"/>
      <c r="T12" s="8">
        <f t="shared" si="4"/>
        <v>0</v>
      </c>
      <c r="U12" s="8"/>
      <c r="V12" s="7"/>
      <c r="W12" s="8">
        <f t="shared" si="5"/>
        <v>0</v>
      </c>
    </row>
    <row r="13" spans="2:23">
      <c r="B13" s="7" t="s">
        <v>241</v>
      </c>
      <c r="C13" s="8"/>
      <c r="D13" s="7">
        <v>0</v>
      </c>
      <c r="E13" s="8">
        <f t="shared" si="0"/>
        <v>0</v>
      </c>
      <c r="F13" s="8"/>
      <c r="G13" s="7">
        <v>0</v>
      </c>
      <c r="H13" s="8">
        <f t="shared" si="1"/>
        <v>0</v>
      </c>
      <c r="I13" s="8"/>
      <c r="J13" s="7">
        <v>0</v>
      </c>
      <c r="K13" s="8">
        <f t="shared" si="2"/>
        <v>0</v>
      </c>
      <c r="N13" s="7" t="s">
        <v>241</v>
      </c>
      <c r="O13" s="8"/>
      <c r="P13" s="7"/>
      <c r="Q13" s="8">
        <f t="shared" si="3"/>
        <v>0</v>
      </c>
      <c r="R13" s="8"/>
      <c r="S13" s="7"/>
      <c r="T13" s="8">
        <f t="shared" si="4"/>
        <v>0</v>
      </c>
      <c r="U13" s="8"/>
      <c r="V13" s="7"/>
      <c r="W13" s="8">
        <f t="shared" si="5"/>
        <v>0</v>
      </c>
    </row>
    <row r="14" spans="2:23" s="1" customFormat="1">
      <c r="B14" s="9"/>
      <c r="C14" s="9"/>
      <c r="D14" s="6" t="s">
        <v>48</v>
      </c>
      <c r="E14" s="10">
        <f>SUM(E5:E13)</f>
        <v>43773446.350000001</v>
      </c>
      <c r="F14" s="9"/>
      <c r="G14" s="6" t="s">
        <v>48</v>
      </c>
      <c r="H14" s="10">
        <f>SUM(H5:H13)</f>
        <v>50188321</v>
      </c>
      <c r="I14" s="9"/>
      <c r="J14" s="6" t="s">
        <v>48</v>
      </c>
      <c r="K14" s="10">
        <f>SUM(K5:K13)</f>
        <v>47491277.75</v>
      </c>
      <c r="N14" s="9"/>
      <c r="O14" s="9"/>
      <c r="P14" s="6" t="s">
        <v>48</v>
      </c>
      <c r="Q14" s="10">
        <f>SUM(Q5:Q13)</f>
        <v>0</v>
      </c>
      <c r="R14" s="9"/>
      <c r="S14" s="6" t="s">
        <v>48</v>
      </c>
      <c r="T14" s="15">
        <f>SUM(T5:T13)</f>
        <v>0</v>
      </c>
      <c r="U14" s="9"/>
      <c r="V14" s="6" t="s">
        <v>48</v>
      </c>
      <c r="W14" s="10">
        <f>SUM(W5:W13)</f>
        <v>0</v>
      </c>
    </row>
    <row r="15" spans="2:23">
      <c r="K15" s="14">
        <f>(E14+H14+K14)/3</f>
        <v>47151015.033333331</v>
      </c>
      <c r="W15" s="14">
        <f>(Q14+T14+W14)/3</f>
        <v>0</v>
      </c>
    </row>
    <row r="16" spans="2:23">
      <c r="C16" t="s">
        <v>280</v>
      </c>
      <c r="F16" t="s">
        <v>281</v>
      </c>
      <c r="I16" t="s">
        <v>282</v>
      </c>
      <c r="K16" s="14"/>
      <c r="W16" s="14"/>
    </row>
    <row r="17" spans="2:23">
      <c r="B17" s="354" t="s">
        <v>283</v>
      </c>
      <c r="C17" s="268" t="s">
        <v>10</v>
      </c>
      <c r="D17" s="347"/>
      <c r="E17" s="269"/>
      <c r="F17" s="268" t="s">
        <v>15</v>
      </c>
      <c r="G17" s="347"/>
      <c r="H17" s="269"/>
      <c r="I17" s="268" t="s">
        <v>17</v>
      </c>
      <c r="J17" s="347"/>
      <c r="K17" s="269"/>
      <c r="N17" s="354" t="s">
        <v>283</v>
      </c>
      <c r="O17" s="268" t="s">
        <v>10</v>
      </c>
      <c r="P17" s="347"/>
      <c r="Q17" s="269"/>
      <c r="R17" s="268" t="s">
        <v>15</v>
      </c>
      <c r="S17" s="347"/>
      <c r="T17" s="269"/>
      <c r="U17" s="268" t="s">
        <v>17</v>
      </c>
      <c r="V17" s="347"/>
      <c r="W17" s="269"/>
    </row>
    <row r="18" spans="2:23">
      <c r="B18" s="355"/>
      <c r="C18" s="5" t="s">
        <v>180</v>
      </c>
      <c r="D18" s="6" t="s">
        <v>41</v>
      </c>
      <c r="E18" s="6" t="s">
        <v>44</v>
      </c>
      <c r="F18" s="5" t="s">
        <v>180</v>
      </c>
      <c r="G18" s="6" t="s">
        <v>41</v>
      </c>
      <c r="H18" s="6" t="s">
        <v>44</v>
      </c>
      <c r="I18" s="5" t="s">
        <v>180</v>
      </c>
      <c r="J18" s="6" t="s">
        <v>41</v>
      </c>
      <c r="K18" s="6" t="s">
        <v>44</v>
      </c>
      <c r="N18" s="355"/>
      <c r="O18" s="5" t="s">
        <v>180</v>
      </c>
      <c r="P18" s="6" t="s">
        <v>41</v>
      </c>
      <c r="Q18" s="6" t="s">
        <v>44</v>
      </c>
      <c r="R18" s="5" t="s">
        <v>180</v>
      </c>
      <c r="S18" s="6" t="s">
        <v>41</v>
      </c>
      <c r="T18" s="6" t="s">
        <v>44</v>
      </c>
      <c r="U18" s="5" t="s">
        <v>180</v>
      </c>
      <c r="V18" s="6" t="s">
        <v>41</v>
      </c>
      <c r="W18" s="6" t="s">
        <v>44</v>
      </c>
    </row>
    <row r="19" spans="2:23">
      <c r="B19" s="7" t="s">
        <v>233</v>
      </c>
      <c r="C19" s="8">
        <v>37956400</v>
      </c>
      <c r="D19" s="7">
        <v>1</v>
      </c>
      <c r="E19" s="8">
        <f t="shared" ref="E19:E27" si="6">+C19*D19</f>
        <v>37956400</v>
      </c>
      <c r="F19" s="8">
        <v>41245952.380952403</v>
      </c>
      <c r="G19" s="7">
        <v>1</v>
      </c>
      <c r="H19" s="8">
        <f t="shared" ref="H19:H27" si="7">+F19*G19</f>
        <v>41245952.380952403</v>
      </c>
      <c r="I19" s="8">
        <v>41989500</v>
      </c>
      <c r="J19" s="7">
        <v>1</v>
      </c>
      <c r="K19" s="8">
        <f t="shared" ref="K19:K27" si="8">+I19*J19</f>
        <v>41989500</v>
      </c>
      <c r="N19" s="7" t="s">
        <v>233</v>
      </c>
      <c r="O19" s="8">
        <v>37956400</v>
      </c>
      <c r="P19" s="7">
        <v>1</v>
      </c>
      <c r="Q19" s="8">
        <f t="shared" ref="Q19:Q27" si="9">+O19*P19</f>
        <v>37956400</v>
      </c>
      <c r="R19" s="8">
        <v>41245952.380952403</v>
      </c>
      <c r="S19" s="7">
        <v>1</v>
      </c>
      <c r="T19" s="8">
        <f t="shared" ref="T19:T27" si="10">+R19*S19</f>
        <v>41245952.380952403</v>
      </c>
      <c r="U19" s="8">
        <v>41989500</v>
      </c>
      <c r="V19" s="7">
        <v>1</v>
      </c>
      <c r="W19" s="8">
        <f t="shared" ref="W19:W27" si="11">+U19*V19</f>
        <v>41989500</v>
      </c>
    </row>
    <row r="20" spans="2:23">
      <c r="B20" s="7" t="s">
        <v>234</v>
      </c>
      <c r="C20" s="8">
        <v>7904650</v>
      </c>
      <c r="D20" s="7">
        <v>1</v>
      </c>
      <c r="E20" s="8">
        <f t="shared" si="6"/>
        <v>7904650</v>
      </c>
      <c r="F20" s="8">
        <v>10550000</v>
      </c>
      <c r="G20" s="7">
        <v>1</v>
      </c>
      <c r="H20" s="8">
        <f t="shared" si="7"/>
        <v>10550000</v>
      </c>
      <c r="I20" s="8">
        <v>9766375</v>
      </c>
      <c r="J20" s="7">
        <v>1</v>
      </c>
      <c r="K20" s="8">
        <f t="shared" si="8"/>
        <v>9766375</v>
      </c>
      <c r="N20" s="7" t="s">
        <v>234</v>
      </c>
      <c r="O20" s="8">
        <v>7904650</v>
      </c>
      <c r="P20" s="7">
        <v>1</v>
      </c>
      <c r="Q20" s="8">
        <f t="shared" si="9"/>
        <v>7904650</v>
      </c>
      <c r="R20" s="8">
        <v>10550000</v>
      </c>
      <c r="S20" s="7">
        <v>1</v>
      </c>
      <c r="T20" s="8">
        <f t="shared" si="10"/>
        <v>10550000</v>
      </c>
      <c r="U20" s="8">
        <v>9766375</v>
      </c>
      <c r="V20" s="7">
        <v>1</v>
      </c>
      <c r="W20" s="8">
        <f t="shared" si="11"/>
        <v>9766375</v>
      </c>
    </row>
    <row r="21" spans="2:23">
      <c r="B21" s="7" t="s">
        <v>235</v>
      </c>
      <c r="C21" s="8">
        <v>6600</v>
      </c>
      <c r="D21" s="7">
        <v>0</v>
      </c>
      <c r="E21" s="8">
        <f t="shared" si="6"/>
        <v>0</v>
      </c>
      <c r="F21" s="8">
        <v>6600</v>
      </c>
      <c r="G21" s="7">
        <v>0</v>
      </c>
      <c r="H21" s="8">
        <f t="shared" si="7"/>
        <v>0</v>
      </c>
      <c r="I21" s="8">
        <v>6600</v>
      </c>
      <c r="J21" s="7">
        <v>0</v>
      </c>
      <c r="K21" s="8">
        <f t="shared" si="8"/>
        <v>0</v>
      </c>
      <c r="N21" s="7" t="s">
        <v>235</v>
      </c>
      <c r="O21" s="8">
        <v>4300</v>
      </c>
      <c r="P21" s="7">
        <v>0</v>
      </c>
      <c r="Q21" s="8">
        <f t="shared" si="9"/>
        <v>0</v>
      </c>
      <c r="R21" s="8">
        <v>4300</v>
      </c>
      <c r="S21" s="7">
        <v>0</v>
      </c>
      <c r="T21" s="8">
        <f t="shared" si="10"/>
        <v>0</v>
      </c>
      <c r="U21" s="8">
        <v>4300</v>
      </c>
      <c r="V21" s="7">
        <v>0</v>
      </c>
      <c r="W21" s="8">
        <f t="shared" si="11"/>
        <v>0</v>
      </c>
    </row>
    <row r="22" spans="2:23">
      <c r="B22" s="7" t="s">
        <v>236</v>
      </c>
      <c r="C22" s="8">
        <v>80300</v>
      </c>
      <c r="D22" s="7">
        <v>19</v>
      </c>
      <c r="E22" s="8">
        <f t="shared" si="6"/>
        <v>1525700</v>
      </c>
      <c r="F22" s="8">
        <v>80300</v>
      </c>
      <c r="G22" s="7">
        <v>41</v>
      </c>
      <c r="H22" s="8">
        <f t="shared" si="7"/>
        <v>3292300</v>
      </c>
      <c r="I22" s="8">
        <v>80300</v>
      </c>
      <c r="J22" s="7">
        <v>12</v>
      </c>
      <c r="K22" s="8">
        <f t="shared" si="8"/>
        <v>963600</v>
      </c>
      <c r="N22" s="7" t="s">
        <v>236</v>
      </c>
      <c r="O22" s="8">
        <v>80300</v>
      </c>
      <c r="P22" s="7">
        <v>19</v>
      </c>
      <c r="Q22" s="8">
        <f t="shared" si="9"/>
        <v>1525700</v>
      </c>
      <c r="R22" s="8">
        <v>80300</v>
      </c>
      <c r="S22" s="7">
        <v>41</v>
      </c>
      <c r="T22" s="8">
        <f t="shared" si="10"/>
        <v>3292300</v>
      </c>
      <c r="U22" s="8">
        <v>80300</v>
      </c>
      <c r="V22" s="7">
        <v>12</v>
      </c>
      <c r="W22" s="8">
        <f t="shared" si="11"/>
        <v>963600</v>
      </c>
    </row>
    <row r="23" spans="2:23">
      <c r="B23" s="7" t="s">
        <v>237</v>
      </c>
      <c r="C23" s="8">
        <v>1100000</v>
      </c>
      <c r="D23" s="7">
        <v>0.5</v>
      </c>
      <c r="E23" s="8">
        <f t="shared" si="6"/>
        <v>550000</v>
      </c>
      <c r="F23" s="8">
        <v>1100000</v>
      </c>
      <c r="G23" s="7">
        <v>0.5</v>
      </c>
      <c r="H23" s="8">
        <f t="shared" si="7"/>
        <v>550000</v>
      </c>
      <c r="I23" s="8">
        <v>1100000</v>
      </c>
      <c r="J23" s="7">
        <v>1</v>
      </c>
      <c r="K23" s="8">
        <f t="shared" si="8"/>
        <v>1100000</v>
      </c>
      <c r="N23" s="7" t="s">
        <v>237</v>
      </c>
      <c r="O23" s="8">
        <v>870000</v>
      </c>
      <c r="P23" s="7">
        <v>0.5</v>
      </c>
      <c r="Q23" s="8">
        <f t="shared" si="9"/>
        <v>435000</v>
      </c>
      <c r="R23" s="8">
        <v>870000</v>
      </c>
      <c r="S23" s="7">
        <v>0.5</v>
      </c>
      <c r="T23" s="8">
        <f t="shared" si="10"/>
        <v>435000</v>
      </c>
      <c r="U23" s="8">
        <v>870000</v>
      </c>
      <c r="V23" s="7">
        <v>1</v>
      </c>
      <c r="W23" s="8">
        <f t="shared" si="11"/>
        <v>870000</v>
      </c>
    </row>
    <row r="24" spans="2:23">
      <c r="B24" s="7" t="s">
        <v>238</v>
      </c>
      <c r="C24" s="8">
        <v>550000</v>
      </c>
      <c r="D24" s="7">
        <v>0</v>
      </c>
      <c r="E24" s="8">
        <f t="shared" si="6"/>
        <v>0</v>
      </c>
      <c r="F24" s="8">
        <v>550000</v>
      </c>
      <c r="G24" s="7">
        <v>0</v>
      </c>
      <c r="H24" s="8">
        <f t="shared" si="7"/>
        <v>0</v>
      </c>
      <c r="I24" s="8">
        <v>550000</v>
      </c>
      <c r="J24" s="7">
        <v>0</v>
      </c>
      <c r="K24" s="8">
        <f t="shared" si="8"/>
        <v>0</v>
      </c>
      <c r="N24" s="7" t="s">
        <v>238</v>
      </c>
      <c r="O24" s="8">
        <v>435000</v>
      </c>
      <c r="P24" s="7">
        <v>0</v>
      </c>
      <c r="Q24" s="8">
        <f t="shared" si="9"/>
        <v>0</v>
      </c>
      <c r="R24" s="8">
        <v>435000</v>
      </c>
      <c r="S24" s="7">
        <v>0</v>
      </c>
      <c r="T24" s="8">
        <f t="shared" si="10"/>
        <v>0</v>
      </c>
      <c r="U24" s="8">
        <v>435000</v>
      </c>
      <c r="V24" s="7">
        <v>0</v>
      </c>
      <c r="W24" s="8">
        <f t="shared" si="11"/>
        <v>0</v>
      </c>
    </row>
    <row r="25" spans="2:23">
      <c r="B25" s="7" t="s">
        <v>239</v>
      </c>
      <c r="C25" s="8">
        <v>420000</v>
      </c>
      <c r="D25" s="7">
        <v>0</v>
      </c>
      <c r="E25" s="8">
        <f t="shared" si="6"/>
        <v>0</v>
      </c>
      <c r="F25" s="8">
        <v>420000</v>
      </c>
      <c r="G25" s="7">
        <v>0</v>
      </c>
      <c r="H25" s="8">
        <f t="shared" si="7"/>
        <v>0</v>
      </c>
      <c r="I25" s="8">
        <v>420000</v>
      </c>
      <c r="J25" s="7">
        <v>0</v>
      </c>
      <c r="K25" s="8">
        <f t="shared" si="8"/>
        <v>0</v>
      </c>
      <c r="N25" s="7" t="s">
        <v>239</v>
      </c>
      <c r="O25" s="8">
        <v>420000</v>
      </c>
      <c r="P25" s="7">
        <v>0</v>
      </c>
      <c r="Q25" s="8">
        <f t="shared" si="9"/>
        <v>0</v>
      </c>
      <c r="R25" s="8">
        <v>420000</v>
      </c>
      <c r="S25" s="7">
        <v>0</v>
      </c>
      <c r="T25" s="8">
        <f t="shared" si="10"/>
        <v>0</v>
      </c>
      <c r="U25" s="8">
        <v>420000</v>
      </c>
      <c r="V25" s="7">
        <v>0</v>
      </c>
      <c r="W25" s="8">
        <f t="shared" si="11"/>
        <v>0</v>
      </c>
    </row>
    <row r="26" spans="2:23">
      <c r="B26" s="7" t="s">
        <v>240</v>
      </c>
      <c r="C26" s="8">
        <v>450000</v>
      </c>
      <c r="D26" s="7">
        <v>0</v>
      </c>
      <c r="E26" s="8">
        <f t="shared" si="6"/>
        <v>0</v>
      </c>
      <c r="F26" s="8">
        <v>450000</v>
      </c>
      <c r="G26" s="7">
        <v>0</v>
      </c>
      <c r="H26" s="8">
        <f t="shared" si="7"/>
        <v>0</v>
      </c>
      <c r="I26" s="8">
        <v>450000</v>
      </c>
      <c r="J26" s="7">
        <v>0</v>
      </c>
      <c r="K26" s="8">
        <f t="shared" si="8"/>
        <v>0</v>
      </c>
      <c r="N26" s="7" t="s">
        <v>240</v>
      </c>
      <c r="O26" s="8">
        <v>450000</v>
      </c>
      <c r="P26" s="7">
        <v>0</v>
      </c>
      <c r="Q26" s="8">
        <f t="shared" si="9"/>
        <v>0</v>
      </c>
      <c r="R26" s="8">
        <v>450000</v>
      </c>
      <c r="S26" s="7">
        <v>0</v>
      </c>
      <c r="T26" s="8">
        <f t="shared" si="10"/>
        <v>0</v>
      </c>
      <c r="U26" s="8">
        <v>450000</v>
      </c>
      <c r="V26" s="7">
        <v>0</v>
      </c>
      <c r="W26" s="8">
        <f t="shared" si="11"/>
        <v>0</v>
      </c>
    </row>
    <row r="27" spans="2:23">
      <c r="B27" s="7" t="s">
        <v>241</v>
      </c>
      <c r="C27" s="8">
        <v>280000</v>
      </c>
      <c r="D27" s="7">
        <v>0</v>
      </c>
      <c r="E27" s="8">
        <f t="shared" si="6"/>
        <v>0</v>
      </c>
      <c r="F27" s="8">
        <v>280000</v>
      </c>
      <c r="G27" s="7">
        <v>0</v>
      </c>
      <c r="H27" s="8">
        <f t="shared" si="7"/>
        <v>0</v>
      </c>
      <c r="I27" s="8">
        <v>280000</v>
      </c>
      <c r="J27" s="7">
        <v>0</v>
      </c>
      <c r="K27" s="8">
        <f t="shared" si="8"/>
        <v>0</v>
      </c>
      <c r="N27" s="7" t="s">
        <v>241</v>
      </c>
      <c r="O27" s="8">
        <v>280000</v>
      </c>
      <c r="P27" s="7">
        <v>0</v>
      </c>
      <c r="Q27" s="8">
        <f t="shared" si="9"/>
        <v>0</v>
      </c>
      <c r="R27" s="8">
        <v>280000</v>
      </c>
      <c r="S27" s="7">
        <v>0</v>
      </c>
      <c r="T27" s="8">
        <f t="shared" si="10"/>
        <v>0</v>
      </c>
      <c r="U27" s="8">
        <v>280000</v>
      </c>
      <c r="V27" s="7">
        <v>0</v>
      </c>
      <c r="W27" s="8">
        <f t="shared" si="11"/>
        <v>0</v>
      </c>
    </row>
    <row r="28" spans="2:23" s="1" customFormat="1">
      <c r="B28" s="9"/>
      <c r="C28" s="9"/>
      <c r="D28" s="6" t="s">
        <v>48</v>
      </c>
      <c r="E28" s="10">
        <f>SUM(E19:E27)</f>
        <v>47936750</v>
      </c>
      <c r="F28" s="9"/>
      <c r="G28" s="6" t="s">
        <v>48</v>
      </c>
      <c r="H28" s="10">
        <f>SUM(H19:H27)</f>
        <v>55638252.380952403</v>
      </c>
      <c r="I28" s="9"/>
      <c r="J28" s="6" t="s">
        <v>48</v>
      </c>
      <c r="K28" s="10">
        <f>SUM(K19:K27)</f>
        <v>53819475</v>
      </c>
      <c r="N28" s="9"/>
      <c r="O28" s="9"/>
      <c r="P28" s="6" t="s">
        <v>48</v>
      </c>
      <c r="Q28" s="10">
        <f>SUM(Q19:Q27)</f>
        <v>47821750</v>
      </c>
      <c r="R28" s="9"/>
      <c r="S28" s="6" t="s">
        <v>48</v>
      </c>
      <c r="T28" s="15">
        <f>SUM(T19:T27)</f>
        <v>55523252.380952403</v>
      </c>
      <c r="U28" s="9"/>
      <c r="V28" s="6" t="s">
        <v>48</v>
      </c>
      <c r="W28" s="10">
        <f>SUM(W19:W27)</f>
        <v>53589475</v>
      </c>
    </row>
    <row r="29" spans="2:23">
      <c r="K29" s="14">
        <f>(E28+H28+K28)/3</f>
        <v>52464825.793650806</v>
      </c>
      <c r="W29" s="14">
        <f>(Q28+T28+W28)/3</f>
        <v>52311492.46031747</v>
      </c>
    </row>
    <row r="31" spans="2:23">
      <c r="C31" t="s">
        <v>280</v>
      </c>
      <c r="F31" t="s">
        <v>281</v>
      </c>
      <c r="I31" t="s">
        <v>282</v>
      </c>
      <c r="K31" s="14"/>
      <c r="W31" s="14"/>
    </row>
    <row r="32" spans="2:23">
      <c r="B32" s="354" t="s">
        <v>284</v>
      </c>
      <c r="C32" s="268" t="s">
        <v>10</v>
      </c>
      <c r="D32" s="347"/>
      <c r="E32" s="269"/>
      <c r="F32" s="268" t="s">
        <v>15</v>
      </c>
      <c r="G32" s="347"/>
      <c r="H32" s="269"/>
      <c r="I32" s="268" t="s">
        <v>17</v>
      </c>
      <c r="J32" s="347"/>
      <c r="K32" s="269"/>
      <c r="N32" s="354" t="s">
        <v>284</v>
      </c>
      <c r="O32" s="268" t="s">
        <v>10</v>
      </c>
      <c r="P32" s="347"/>
      <c r="Q32" s="269"/>
      <c r="R32" s="268" t="s">
        <v>15</v>
      </c>
      <c r="S32" s="347"/>
      <c r="T32" s="269"/>
      <c r="U32" s="268" t="s">
        <v>17</v>
      </c>
      <c r="V32" s="347"/>
      <c r="W32" s="269"/>
    </row>
    <row r="33" spans="2:23">
      <c r="B33" s="355"/>
      <c r="C33" s="5" t="s">
        <v>180</v>
      </c>
      <c r="D33" s="6" t="s">
        <v>41</v>
      </c>
      <c r="E33" s="6" t="s">
        <v>44</v>
      </c>
      <c r="F33" s="5" t="s">
        <v>180</v>
      </c>
      <c r="G33" s="6" t="s">
        <v>41</v>
      </c>
      <c r="H33" s="6" t="s">
        <v>44</v>
      </c>
      <c r="I33" s="5" t="s">
        <v>180</v>
      </c>
      <c r="J33" s="6" t="s">
        <v>41</v>
      </c>
      <c r="K33" s="6" t="s">
        <v>44</v>
      </c>
      <c r="N33" s="355"/>
      <c r="O33" s="5" t="s">
        <v>180</v>
      </c>
      <c r="P33" s="6" t="s">
        <v>41</v>
      </c>
      <c r="Q33" s="6" t="s">
        <v>44</v>
      </c>
      <c r="R33" s="5" t="s">
        <v>180</v>
      </c>
      <c r="S33" s="6" t="s">
        <v>41</v>
      </c>
      <c r="T33" s="6" t="s">
        <v>44</v>
      </c>
      <c r="U33" s="5" t="s">
        <v>180</v>
      </c>
      <c r="V33" s="6" t="s">
        <v>41</v>
      </c>
      <c r="W33" s="6" t="s">
        <v>44</v>
      </c>
    </row>
    <row r="34" spans="2:23">
      <c r="B34" s="7" t="s">
        <v>233</v>
      </c>
      <c r="C34" s="8">
        <v>36318400</v>
      </c>
      <c r="D34" s="7">
        <v>1</v>
      </c>
      <c r="E34" s="8">
        <f t="shared" ref="E34:E42" si="12">+C34*D34</f>
        <v>36318400</v>
      </c>
      <c r="F34" s="8">
        <v>38905952.380952403</v>
      </c>
      <c r="G34" s="7">
        <v>1</v>
      </c>
      <c r="H34" s="8">
        <f t="shared" ref="H34:H42" si="13">+F34*G34</f>
        <v>38905952.380952403</v>
      </c>
      <c r="I34" s="8">
        <v>39430125</v>
      </c>
      <c r="J34" s="7">
        <v>1</v>
      </c>
      <c r="K34" s="8">
        <f t="shared" ref="K34:K42" si="14">+I34*J34</f>
        <v>39430125</v>
      </c>
      <c r="N34" s="7" t="s">
        <v>233</v>
      </c>
      <c r="O34" s="8">
        <v>36318400</v>
      </c>
      <c r="P34" s="7">
        <v>1</v>
      </c>
      <c r="Q34" s="8">
        <f t="shared" ref="Q34:Q42" si="15">+O34*P34</f>
        <v>36318400</v>
      </c>
      <c r="R34" s="8">
        <v>38905952.380952403</v>
      </c>
      <c r="S34" s="7">
        <v>1</v>
      </c>
      <c r="T34" s="8">
        <f t="shared" ref="T34:T42" si="16">+R34*S34</f>
        <v>38905952.380952403</v>
      </c>
      <c r="U34" s="8">
        <v>39430125</v>
      </c>
      <c r="V34" s="7">
        <v>1</v>
      </c>
      <c r="W34" s="8">
        <f t="shared" ref="W34:W42" si="17">+U34*V34</f>
        <v>39430125</v>
      </c>
    </row>
    <row r="35" spans="2:23">
      <c r="B35" s="7" t="s">
        <v>234</v>
      </c>
      <c r="C35" s="8">
        <v>7904650</v>
      </c>
      <c r="D35" s="7">
        <v>1</v>
      </c>
      <c r="E35" s="8">
        <f t="shared" si="12"/>
        <v>7904650</v>
      </c>
      <c r="F35" s="8">
        <v>10550000</v>
      </c>
      <c r="G35" s="7">
        <v>1</v>
      </c>
      <c r="H35" s="8">
        <f t="shared" si="13"/>
        <v>10550000</v>
      </c>
      <c r="I35" s="8">
        <v>9766375</v>
      </c>
      <c r="J35" s="7">
        <v>1</v>
      </c>
      <c r="K35" s="8">
        <f t="shared" si="14"/>
        <v>9766375</v>
      </c>
      <c r="N35" s="7" t="s">
        <v>234</v>
      </c>
      <c r="O35" s="8">
        <v>7904650</v>
      </c>
      <c r="P35" s="7">
        <v>1</v>
      </c>
      <c r="Q35" s="8">
        <f t="shared" si="15"/>
        <v>7904650</v>
      </c>
      <c r="R35" s="8">
        <v>10550000</v>
      </c>
      <c r="S35" s="7">
        <v>1</v>
      </c>
      <c r="T35" s="8">
        <f t="shared" si="16"/>
        <v>10550000</v>
      </c>
      <c r="U35" s="8">
        <v>9766375</v>
      </c>
      <c r="V35" s="7">
        <v>1</v>
      </c>
      <c r="W35" s="8">
        <f t="shared" si="17"/>
        <v>9766375</v>
      </c>
    </row>
    <row r="36" spans="2:23">
      <c r="B36" s="7" t="s">
        <v>235</v>
      </c>
      <c r="C36" s="8">
        <v>6600</v>
      </c>
      <c r="D36" s="7">
        <v>0</v>
      </c>
      <c r="E36" s="8">
        <f t="shared" si="12"/>
        <v>0</v>
      </c>
      <c r="F36" s="8">
        <v>6600</v>
      </c>
      <c r="G36" s="7">
        <v>0</v>
      </c>
      <c r="H36" s="8">
        <f t="shared" si="13"/>
        <v>0</v>
      </c>
      <c r="I36" s="8">
        <v>6600</v>
      </c>
      <c r="J36" s="7">
        <v>0</v>
      </c>
      <c r="K36" s="8">
        <f t="shared" si="14"/>
        <v>0</v>
      </c>
      <c r="N36" s="7" t="s">
        <v>235</v>
      </c>
      <c r="O36" s="8">
        <v>4300</v>
      </c>
      <c r="P36" s="7">
        <v>0</v>
      </c>
      <c r="Q36" s="8">
        <f t="shared" si="15"/>
        <v>0</v>
      </c>
      <c r="R36" s="8">
        <v>4300</v>
      </c>
      <c r="S36" s="7">
        <v>0</v>
      </c>
      <c r="T36" s="8">
        <f t="shared" si="16"/>
        <v>0</v>
      </c>
      <c r="U36" s="8">
        <v>4300</v>
      </c>
      <c r="V36" s="7">
        <v>0</v>
      </c>
      <c r="W36" s="8">
        <f t="shared" si="17"/>
        <v>0</v>
      </c>
    </row>
    <row r="37" spans="2:23">
      <c r="B37" s="7" t="s">
        <v>236</v>
      </c>
      <c r="C37" s="8">
        <v>80300</v>
      </c>
      <c r="D37" s="7">
        <v>19</v>
      </c>
      <c r="E37" s="8">
        <f t="shared" si="12"/>
        <v>1525700</v>
      </c>
      <c r="F37" s="8">
        <v>80300</v>
      </c>
      <c r="G37" s="7">
        <v>41</v>
      </c>
      <c r="H37" s="8">
        <f t="shared" si="13"/>
        <v>3292300</v>
      </c>
      <c r="I37" s="8">
        <v>80300</v>
      </c>
      <c r="J37" s="7">
        <v>12</v>
      </c>
      <c r="K37" s="8">
        <f t="shared" si="14"/>
        <v>963600</v>
      </c>
      <c r="N37" s="7" t="s">
        <v>236</v>
      </c>
      <c r="O37" s="8">
        <v>80300</v>
      </c>
      <c r="P37" s="7">
        <v>19</v>
      </c>
      <c r="Q37" s="8">
        <f t="shared" si="15"/>
        <v>1525700</v>
      </c>
      <c r="R37" s="8">
        <v>80300</v>
      </c>
      <c r="S37" s="7">
        <v>41</v>
      </c>
      <c r="T37" s="8">
        <f t="shared" si="16"/>
        <v>3292300</v>
      </c>
      <c r="U37" s="8">
        <v>80300</v>
      </c>
      <c r="V37" s="7">
        <v>12</v>
      </c>
      <c r="W37" s="8">
        <f t="shared" si="17"/>
        <v>963600</v>
      </c>
    </row>
    <row r="38" spans="2:23">
      <c r="B38" s="7" t="s">
        <v>237</v>
      </c>
      <c r="C38" s="8">
        <v>1100000</v>
      </c>
      <c r="D38" s="7">
        <v>0.5</v>
      </c>
      <c r="E38" s="8">
        <f t="shared" si="12"/>
        <v>550000</v>
      </c>
      <c r="F38" s="8">
        <v>1100000</v>
      </c>
      <c r="G38" s="7">
        <v>0.5</v>
      </c>
      <c r="H38" s="8">
        <f t="shared" si="13"/>
        <v>550000</v>
      </c>
      <c r="I38" s="8">
        <v>1100000</v>
      </c>
      <c r="J38" s="7">
        <v>1</v>
      </c>
      <c r="K38" s="8">
        <f t="shared" si="14"/>
        <v>1100000</v>
      </c>
      <c r="N38" s="7" t="s">
        <v>237</v>
      </c>
      <c r="O38" s="8">
        <v>870000</v>
      </c>
      <c r="P38" s="7">
        <v>0.5</v>
      </c>
      <c r="Q38" s="8">
        <f t="shared" si="15"/>
        <v>435000</v>
      </c>
      <c r="R38" s="8">
        <v>870000</v>
      </c>
      <c r="S38" s="7">
        <v>0.5</v>
      </c>
      <c r="T38" s="8">
        <f t="shared" si="16"/>
        <v>435000</v>
      </c>
      <c r="U38" s="8">
        <v>870000</v>
      </c>
      <c r="V38" s="7">
        <v>1</v>
      </c>
      <c r="W38" s="8">
        <f t="shared" si="17"/>
        <v>870000</v>
      </c>
    </row>
    <row r="39" spans="2:23">
      <c r="B39" s="7" t="s">
        <v>238</v>
      </c>
      <c r="C39" s="8">
        <v>550000</v>
      </c>
      <c r="D39" s="7">
        <v>0</v>
      </c>
      <c r="E39" s="8">
        <f t="shared" si="12"/>
        <v>0</v>
      </c>
      <c r="F39" s="8">
        <v>550000</v>
      </c>
      <c r="G39" s="7">
        <v>0</v>
      </c>
      <c r="H39" s="8">
        <f t="shared" si="13"/>
        <v>0</v>
      </c>
      <c r="I39" s="8">
        <v>550000</v>
      </c>
      <c r="J39" s="7">
        <v>0</v>
      </c>
      <c r="K39" s="8">
        <f t="shared" si="14"/>
        <v>0</v>
      </c>
      <c r="N39" s="7" t="s">
        <v>238</v>
      </c>
      <c r="O39" s="8">
        <v>435000</v>
      </c>
      <c r="P39" s="7">
        <v>0</v>
      </c>
      <c r="Q39" s="8">
        <f t="shared" si="15"/>
        <v>0</v>
      </c>
      <c r="R39" s="8">
        <v>435000</v>
      </c>
      <c r="S39" s="7">
        <v>0</v>
      </c>
      <c r="T39" s="8">
        <f t="shared" si="16"/>
        <v>0</v>
      </c>
      <c r="U39" s="8">
        <v>435000</v>
      </c>
      <c r="V39" s="7">
        <v>0</v>
      </c>
      <c r="W39" s="8">
        <f t="shared" si="17"/>
        <v>0</v>
      </c>
    </row>
    <row r="40" spans="2:23">
      <c r="B40" s="7" t="s">
        <v>239</v>
      </c>
      <c r="C40" s="8">
        <v>420000</v>
      </c>
      <c r="D40" s="7">
        <v>0</v>
      </c>
      <c r="E40" s="8">
        <f t="shared" si="12"/>
        <v>0</v>
      </c>
      <c r="F40" s="8">
        <v>420000</v>
      </c>
      <c r="G40" s="7">
        <v>0</v>
      </c>
      <c r="H40" s="8">
        <f t="shared" si="13"/>
        <v>0</v>
      </c>
      <c r="I40" s="8">
        <v>420000</v>
      </c>
      <c r="J40" s="7">
        <v>0</v>
      </c>
      <c r="K40" s="8">
        <f t="shared" si="14"/>
        <v>0</v>
      </c>
      <c r="N40" s="7" t="s">
        <v>239</v>
      </c>
      <c r="O40" s="8">
        <v>420000</v>
      </c>
      <c r="P40" s="7">
        <v>0</v>
      </c>
      <c r="Q40" s="8">
        <f t="shared" si="15"/>
        <v>0</v>
      </c>
      <c r="R40" s="8">
        <v>420000</v>
      </c>
      <c r="S40" s="7">
        <v>0</v>
      </c>
      <c r="T40" s="8">
        <f t="shared" si="16"/>
        <v>0</v>
      </c>
      <c r="U40" s="8">
        <v>420000</v>
      </c>
      <c r="V40" s="7">
        <v>0</v>
      </c>
      <c r="W40" s="8">
        <f t="shared" si="17"/>
        <v>0</v>
      </c>
    </row>
    <row r="41" spans="2:23">
      <c r="B41" s="7" t="s">
        <v>240</v>
      </c>
      <c r="C41" s="8">
        <v>450000</v>
      </c>
      <c r="D41" s="7">
        <v>0</v>
      </c>
      <c r="E41" s="8">
        <f t="shared" si="12"/>
        <v>0</v>
      </c>
      <c r="F41" s="8">
        <v>450000</v>
      </c>
      <c r="G41" s="7">
        <v>0</v>
      </c>
      <c r="H41" s="8">
        <f t="shared" si="13"/>
        <v>0</v>
      </c>
      <c r="I41" s="8">
        <v>450000</v>
      </c>
      <c r="J41" s="7">
        <v>0</v>
      </c>
      <c r="K41" s="8">
        <f t="shared" si="14"/>
        <v>0</v>
      </c>
      <c r="N41" s="7" t="s">
        <v>240</v>
      </c>
      <c r="O41" s="8">
        <v>450000</v>
      </c>
      <c r="P41" s="7">
        <v>0</v>
      </c>
      <c r="Q41" s="8">
        <f t="shared" si="15"/>
        <v>0</v>
      </c>
      <c r="R41" s="8">
        <v>450000</v>
      </c>
      <c r="S41" s="7">
        <v>0</v>
      </c>
      <c r="T41" s="8">
        <f t="shared" si="16"/>
        <v>0</v>
      </c>
      <c r="U41" s="8">
        <v>450000</v>
      </c>
      <c r="V41" s="7">
        <v>0</v>
      </c>
      <c r="W41" s="8">
        <f t="shared" si="17"/>
        <v>0</v>
      </c>
    </row>
    <row r="42" spans="2:23">
      <c r="B42" s="7" t="s">
        <v>241</v>
      </c>
      <c r="C42" s="8">
        <v>280000</v>
      </c>
      <c r="D42" s="7">
        <v>0</v>
      </c>
      <c r="E42" s="8">
        <f t="shared" si="12"/>
        <v>0</v>
      </c>
      <c r="F42" s="8">
        <v>280000</v>
      </c>
      <c r="G42" s="7">
        <v>0</v>
      </c>
      <c r="H42" s="8">
        <f t="shared" si="13"/>
        <v>0</v>
      </c>
      <c r="I42" s="8">
        <v>280000</v>
      </c>
      <c r="J42" s="7">
        <v>0</v>
      </c>
      <c r="K42" s="8">
        <f t="shared" si="14"/>
        <v>0</v>
      </c>
      <c r="N42" s="7" t="s">
        <v>241</v>
      </c>
      <c r="O42" s="8">
        <v>280000</v>
      </c>
      <c r="P42" s="7">
        <v>0</v>
      </c>
      <c r="Q42" s="8">
        <f t="shared" si="15"/>
        <v>0</v>
      </c>
      <c r="R42" s="8">
        <v>280000</v>
      </c>
      <c r="S42" s="7">
        <v>0</v>
      </c>
      <c r="T42" s="8">
        <f t="shared" si="16"/>
        <v>0</v>
      </c>
      <c r="U42" s="8">
        <v>280000</v>
      </c>
      <c r="V42" s="7">
        <v>0</v>
      </c>
      <c r="W42" s="8">
        <f t="shared" si="17"/>
        <v>0</v>
      </c>
    </row>
    <row r="43" spans="2:23" s="1" customFormat="1">
      <c r="B43" s="9"/>
      <c r="C43" s="9"/>
      <c r="D43" s="6" t="s">
        <v>48</v>
      </c>
      <c r="E43" s="10">
        <f>SUM(E34:E42)</f>
        <v>46298750</v>
      </c>
      <c r="F43" s="9"/>
      <c r="G43" s="6" t="s">
        <v>48</v>
      </c>
      <c r="H43" s="10">
        <f>SUM(H34:H42)</f>
        <v>53298252.380952403</v>
      </c>
      <c r="I43" s="9"/>
      <c r="J43" s="6" t="s">
        <v>48</v>
      </c>
      <c r="K43" s="10">
        <f>SUM(K34:K42)</f>
        <v>51260100</v>
      </c>
      <c r="N43" s="9"/>
      <c r="O43" s="9"/>
      <c r="P43" s="6" t="s">
        <v>48</v>
      </c>
      <c r="Q43" s="10">
        <f>SUM(Q34:Q42)</f>
        <v>46183750</v>
      </c>
      <c r="R43" s="9"/>
      <c r="S43" s="6" t="s">
        <v>48</v>
      </c>
      <c r="T43" s="15">
        <f>SUM(T34:T42)</f>
        <v>53183252.380952403</v>
      </c>
      <c r="U43" s="9"/>
      <c r="V43" s="6" t="s">
        <v>48</v>
      </c>
      <c r="W43" s="10">
        <f>SUM(W34:W42)</f>
        <v>51030100</v>
      </c>
    </row>
    <row r="44" spans="2:23" s="1" customFormat="1">
      <c r="D44" s="11"/>
      <c r="E44" s="12"/>
      <c r="G44" s="11"/>
      <c r="H44" s="12"/>
      <c r="J44" s="11"/>
      <c r="K44" s="14">
        <f>(E43+H43+K43)/3</f>
        <v>50285700.793650806</v>
      </c>
      <c r="P44" s="11"/>
      <c r="Q44" s="12"/>
      <c r="S44" s="11"/>
      <c r="T44" s="16"/>
      <c r="V44" s="11"/>
      <c r="W44" s="14">
        <f>(Q43+T43+W43)/3</f>
        <v>50132367.46031747</v>
      </c>
    </row>
    <row r="46" spans="2:23">
      <c r="B46" s="354" t="s">
        <v>285</v>
      </c>
      <c r="C46" s="268" t="s">
        <v>10</v>
      </c>
      <c r="D46" s="347"/>
      <c r="E46" s="269"/>
      <c r="F46" s="268" t="s">
        <v>15</v>
      </c>
      <c r="G46" s="347"/>
      <c r="H46" s="269"/>
      <c r="I46" s="268" t="s">
        <v>17</v>
      </c>
      <c r="J46" s="347"/>
      <c r="K46" s="269"/>
      <c r="N46" s="354" t="s">
        <v>285</v>
      </c>
      <c r="O46" s="268" t="s">
        <v>10</v>
      </c>
      <c r="P46" s="347"/>
      <c r="Q46" s="269"/>
      <c r="R46" s="268" t="s">
        <v>15</v>
      </c>
      <c r="S46" s="347"/>
      <c r="T46" s="269"/>
      <c r="U46" s="268" t="s">
        <v>17</v>
      </c>
      <c r="V46" s="347"/>
      <c r="W46" s="269"/>
    </row>
    <row r="47" spans="2:23">
      <c r="B47" s="355"/>
      <c r="C47" s="5" t="s">
        <v>180</v>
      </c>
      <c r="D47" s="6" t="s">
        <v>41</v>
      </c>
      <c r="E47" s="6" t="s">
        <v>44</v>
      </c>
      <c r="F47" s="5" t="s">
        <v>180</v>
      </c>
      <c r="G47" s="6" t="s">
        <v>41</v>
      </c>
      <c r="H47" s="6" t="s">
        <v>44</v>
      </c>
      <c r="I47" s="5" t="s">
        <v>180</v>
      </c>
      <c r="J47" s="6" t="s">
        <v>41</v>
      </c>
      <c r="K47" s="6" t="s">
        <v>44</v>
      </c>
      <c r="N47" s="355"/>
      <c r="O47" s="5" t="s">
        <v>180</v>
      </c>
      <c r="P47" s="6" t="s">
        <v>41</v>
      </c>
      <c r="Q47" s="6" t="s">
        <v>44</v>
      </c>
      <c r="R47" s="5" t="s">
        <v>180</v>
      </c>
      <c r="S47" s="6" t="s">
        <v>41</v>
      </c>
      <c r="T47" s="6" t="s">
        <v>44</v>
      </c>
      <c r="U47" s="5" t="s">
        <v>180</v>
      </c>
      <c r="V47" s="6" t="s">
        <v>41</v>
      </c>
      <c r="W47" s="6" t="s">
        <v>44</v>
      </c>
    </row>
    <row r="48" spans="2:23">
      <c r="B48" s="7" t="s">
        <v>233</v>
      </c>
      <c r="C48" s="8">
        <v>38730333.333333299</v>
      </c>
      <c r="D48" s="7">
        <v>1</v>
      </c>
      <c r="E48" s="8">
        <f t="shared" ref="E48:E56" si="18">+C48*D48</f>
        <v>38730333.333333299</v>
      </c>
      <c r="F48" s="8">
        <v>39050538.461538501</v>
      </c>
      <c r="G48" s="7">
        <v>1</v>
      </c>
      <c r="H48" s="13">
        <f t="shared" ref="H48:H56" si="19">+F48*G48</f>
        <v>39050538.461538501</v>
      </c>
      <c r="I48" s="8">
        <v>39207500</v>
      </c>
      <c r="J48" s="7">
        <v>1</v>
      </c>
      <c r="K48" s="8">
        <f t="shared" ref="K48:K56" si="20">+I48*J48</f>
        <v>39207500</v>
      </c>
      <c r="N48" s="7" t="s">
        <v>233</v>
      </c>
      <c r="O48" s="8">
        <v>38730333.333333299</v>
      </c>
      <c r="P48" s="7">
        <v>1</v>
      </c>
      <c r="Q48" s="8">
        <f t="shared" ref="Q48:Q56" si="21">+O48*P48</f>
        <v>38730333.333333299</v>
      </c>
      <c r="R48" s="8">
        <v>39050538.461538501</v>
      </c>
      <c r="S48" s="7">
        <v>1</v>
      </c>
      <c r="T48" s="8">
        <f t="shared" ref="T48:T56" si="22">+R48*S48</f>
        <v>39050538.461538501</v>
      </c>
      <c r="U48" s="8">
        <v>39207500</v>
      </c>
      <c r="V48" s="7">
        <v>1</v>
      </c>
      <c r="W48" s="8">
        <f t="shared" ref="W48:W56" si="23">+U48*V48</f>
        <v>39207500</v>
      </c>
    </row>
    <row r="49" spans="2:23">
      <c r="B49" s="7" t="s">
        <v>234</v>
      </c>
      <c r="C49" s="8">
        <v>7031111.1111111101</v>
      </c>
      <c r="D49" s="7">
        <v>1</v>
      </c>
      <c r="E49" s="8">
        <f t="shared" si="18"/>
        <v>7031111.1111111101</v>
      </c>
      <c r="F49" s="8">
        <v>9786923.0769230798</v>
      </c>
      <c r="G49" s="7">
        <v>1</v>
      </c>
      <c r="H49" s="13">
        <f t="shared" si="19"/>
        <v>9786923.0769230798</v>
      </c>
      <c r="I49" s="8">
        <v>9298500</v>
      </c>
      <c r="J49" s="7">
        <v>1</v>
      </c>
      <c r="K49" s="8">
        <f t="shared" si="20"/>
        <v>9298500</v>
      </c>
      <c r="N49" s="7" t="s">
        <v>234</v>
      </c>
      <c r="O49" s="8">
        <v>7031111.1111111101</v>
      </c>
      <c r="P49" s="7">
        <v>1</v>
      </c>
      <c r="Q49" s="8">
        <f t="shared" si="21"/>
        <v>7031111.1111111101</v>
      </c>
      <c r="R49" s="8">
        <v>9786923.0769230798</v>
      </c>
      <c r="S49" s="7">
        <v>1</v>
      </c>
      <c r="T49" s="8">
        <f t="shared" si="22"/>
        <v>9786923.0769230798</v>
      </c>
      <c r="U49" s="8">
        <v>9298500</v>
      </c>
      <c r="V49" s="7">
        <v>1</v>
      </c>
      <c r="W49" s="8">
        <f t="shared" si="23"/>
        <v>9298500</v>
      </c>
    </row>
    <row r="50" spans="2:23">
      <c r="B50" s="7" t="s">
        <v>235</v>
      </c>
      <c r="C50" s="8">
        <v>6600</v>
      </c>
      <c r="D50" s="7">
        <v>0</v>
      </c>
      <c r="E50" s="8">
        <f t="shared" si="18"/>
        <v>0</v>
      </c>
      <c r="F50" s="8">
        <v>6600</v>
      </c>
      <c r="G50" s="7">
        <v>0</v>
      </c>
      <c r="H50" s="13">
        <f t="shared" si="19"/>
        <v>0</v>
      </c>
      <c r="I50" s="8">
        <v>6600</v>
      </c>
      <c r="J50" s="7">
        <v>0</v>
      </c>
      <c r="K50" s="8">
        <f t="shared" si="20"/>
        <v>0</v>
      </c>
      <c r="N50" s="7" t="s">
        <v>235</v>
      </c>
      <c r="O50" s="8">
        <v>4300</v>
      </c>
      <c r="P50" s="7">
        <v>0</v>
      </c>
      <c r="Q50" s="8">
        <f t="shared" si="21"/>
        <v>0</v>
      </c>
      <c r="R50" s="8">
        <v>4300</v>
      </c>
      <c r="S50" s="7">
        <v>0</v>
      </c>
      <c r="T50" s="8">
        <f t="shared" si="22"/>
        <v>0</v>
      </c>
      <c r="U50" s="8">
        <v>4300</v>
      </c>
      <c r="V50" s="7">
        <v>0</v>
      </c>
      <c r="W50" s="8">
        <f t="shared" si="23"/>
        <v>0</v>
      </c>
    </row>
    <row r="51" spans="2:23">
      <c r="B51" s="7" t="s">
        <v>236</v>
      </c>
      <c r="C51" s="8">
        <v>80300</v>
      </c>
      <c r="D51" s="7">
        <v>19</v>
      </c>
      <c r="E51" s="8">
        <f t="shared" si="18"/>
        <v>1525700</v>
      </c>
      <c r="F51" s="8">
        <v>80300</v>
      </c>
      <c r="G51" s="7">
        <v>41</v>
      </c>
      <c r="H51" s="13">
        <f t="shared" si="19"/>
        <v>3292300</v>
      </c>
      <c r="I51" s="8">
        <v>80300</v>
      </c>
      <c r="J51" s="7">
        <v>12</v>
      </c>
      <c r="K51" s="8">
        <f t="shared" si="20"/>
        <v>963600</v>
      </c>
      <c r="N51" s="7" t="s">
        <v>236</v>
      </c>
      <c r="O51" s="8">
        <v>80300</v>
      </c>
      <c r="P51" s="7">
        <v>19</v>
      </c>
      <c r="Q51" s="8">
        <f t="shared" si="21"/>
        <v>1525700</v>
      </c>
      <c r="R51" s="8">
        <v>80300</v>
      </c>
      <c r="S51" s="7">
        <v>41</v>
      </c>
      <c r="T51" s="8">
        <f t="shared" si="22"/>
        <v>3292300</v>
      </c>
      <c r="U51" s="8">
        <v>80300</v>
      </c>
      <c r="V51" s="7">
        <v>12</v>
      </c>
      <c r="W51" s="8">
        <f t="shared" si="23"/>
        <v>963600</v>
      </c>
    </row>
    <row r="52" spans="2:23">
      <c r="B52" s="7" t="s">
        <v>237</v>
      </c>
      <c r="C52" s="8">
        <v>1100000</v>
      </c>
      <c r="D52" s="7">
        <v>0.5</v>
      </c>
      <c r="E52" s="8">
        <f t="shared" si="18"/>
        <v>550000</v>
      </c>
      <c r="F52" s="8">
        <v>1100000</v>
      </c>
      <c r="G52" s="7">
        <v>0.5</v>
      </c>
      <c r="H52" s="13">
        <f t="shared" si="19"/>
        <v>550000</v>
      </c>
      <c r="I52" s="8">
        <v>1100000</v>
      </c>
      <c r="J52" s="7">
        <v>1</v>
      </c>
      <c r="K52" s="8">
        <f t="shared" si="20"/>
        <v>1100000</v>
      </c>
      <c r="N52" s="7" t="s">
        <v>237</v>
      </c>
      <c r="O52" s="8">
        <v>870000</v>
      </c>
      <c r="P52" s="7">
        <v>0.5</v>
      </c>
      <c r="Q52" s="8">
        <f t="shared" si="21"/>
        <v>435000</v>
      </c>
      <c r="R52" s="8">
        <v>870000</v>
      </c>
      <c r="S52" s="7">
        <v>0.5</v>
      </c>
      <c r="T52" s="8">
        <f t="shared" si="22"/>
        <v>435000</v>
      </c>
      <c r="U52" s="8">
        <v>870000</v>
      </c>
      <c r="V52" s="7">
        <v>1</v>
      </c>
      <c r="W52" s="8">
        <f t="shared" si="23"/>
        <v>870000</v>
      </c>
    </row>
    <row r="53" spans="2:23">
      <c r="B53" s="7" t="s">
        <v>238</v>
      </c>
      <c r="C53" s="8">
        <v>550000</v>
      </c>
      <c r="D53" s="7">
        <v>0</v>
      </c>
      <c r="E53" s="8">
        <f t="shared" si="18"/>
        <v>0</v>
      </c>
      <c r="F53" s="8">
        <v>550000</v>
      </c>
      <c r="G53" s="7">
        <v>0</v>
      </c>
      <c r="H53" s="13">
        <f t="shared" si="19"/>
        <v>0</v>
      </c>
      <c r="I53" s="8">
        <v>550000</v>
      </c>
      <c r="J53" s="7">
        <v>0</v>
      </c>
      <c r="K53" s="8">
        <f t="shared" si="20"/>
        <v>0</v>
      </c>
      <c r="N53" s="7" t="s">
        <v>238</v>
      </c>
      <c r="O53" s="8">
        <v>435000</v>
      </c>
      <c r="P53" s="7">
        <v>0</v>
      </c>
      <c r="Q53" s="8">
        <f t="shared" si="21"/>
        <v>0</v>
      </c>
      <c r="R53" s="8">
        <v>435000</v>
      </c>
      <c r="S53" s="7">
        <v>0</v>
      </c>
      <c r="T53" s="8">
        <f t="shared" si="22"/>
        <v>0</v>
      </c>
      <c r="U53" s="8">
        <v>435000</v>
      </c>
      <c r="V53" s="7">
        <v>0</v>
      </c>
      <c r="W53" s="8">
        <f t="shared" si="23"/>
        <v>0</v>
      </c>
    </row>
    <row r="54" spans="2:23">
      <c r="B54" s="7" t="s">
        <v>239</v>
      </c>
      <c r="C54" s="8">
        <v>420000</v>
      </c>
      <c r="D54" s="7">
        <v>0</v>
      </c>
      <c r="E54" s="8">
        <f t="shared" si="18"/>
        <v>0</v>
      </c>
      <c r="F54" s="8">
        <v>420000</v>
      </c>
      <c r="G54" s="7">
        <v>0</v>
      </c>
      <c r="H54" s="13">
        <f t="shared" si="19"/>
        <v>0</v>
      </c>
      <c r="I54" s="8">
        <v>420000</v>
      </c>
      <c r="J54" s="7">
        <v>0</v>
      </c>
      <c r="K54" s="8">
        <f t="shared" si="20"/>
        <v>0</v>
      </c>
      <c r="N54" s="7" t="s">
        <v>239</v>
      </c>
      <c r="O54" s="8">
        <v>420000</v>
      </c>
      <c r="P54" s="7">
        <v>0</v>
      </c>
      <c r="Q54" s="8">
        <f t="shared" si="21"/>
        <v>0</v>
      </c>
      <c r="R54" s="8">
        <v>420000</v>
      </c>
      <c r="S54" s="7">
        <v>0</v>
      </c>
      <c r="T54" s="8">
        <f t="shared" si="22"/>
        <v>0</v>
      </c>
      <c r="U54" s="8">
        <v>420000</v>
      </c>
      <c r="V54" s="7">
        <v>0</v>
      </c>
      <c r="W54" s="8">
        <f t="shared" si="23"/>
        <v>0</v>
      </c>
    </row>
    <row r="55" spans="2:23">
      <c r="B55" s="7" t="s">
        <v>240</v>
      </c>
      <c r="C55" s="8">
        <v>450000</v>
      </c>
      <c r="D55" s="7">
        <v>0</v>
      </c>
      <c r="E55" s="8">
        <f t="shared" si="18"/>
        <v>0</v>
      </c>
      <c r="F55" s="8">
        <v>450000</v>
      </c>
      <c r="G55" s="7">
        <v>0</v>
      </c>
      <c r="H55" s="13">
        <f t="shared" si="19"/>
        <v>0</v>
      </c>
      <c r="I55" s="8">
        <v>450000</v>
      </c>
      <c r="J55" s="7">
        <v>0</v>
      </c>
      <c r="K55" s="8">
        <f t="shared" si="20"/>
        <v>0</v>
      </c>
      <c r="N55" s="7" t="s">
        <v>240</v>
      </c>
      <c r="O55" s="8">
        <v>450000</v>
      </c>
      <c r="P55" s="7">
        <v>0</v>
      </c>
      <c r="Q55" s="8">
        <f t="shared" si="21"/>
        <v>0</v>
      </c>
      <c r="R55" s="8">
        <v>450000</v>
      </c>
      <c r="S55" s="7">
        <v>0</v>
      </c>
      <c r="T55" s="8">
        <f t="shared" si="22"/>
        <v>0</v>
      </c>
      <c r="U55" s="8">
        <v>450000</v>
      </c>
      <c r="V55" s="7">
        <v>0</v>
      </c>
      <c r="W55" s="8">
        <f t="shared" si="23"/>
        <v>0</v>
      </c>
    </row>
    <row r="56" spans="2:23">
      <c r="B56" s="7" t="s">
        <v>241</v>
      </c>
      <c r="C56" s="8">
        <v>230000</v>
      </c>
      <c r="D56" s="7">
        <v>0</v>
      </c>
      <c r="E56" s="8">
        <f t="shared" si="18"/>
        <v>0</v>
      </c>
      <c r="F56" s="8">
        <v>230000</v>
      </c>
      <c r="G56" s="7">
        <v>0</v>
      </c>
      <c r="H56" s="13">
        <f t="shared" si="19"/>
        <v>0</v>
      </c>
      <c r="I56" s="8">
        <v>230000</v>
      </c>
      <c r="J56" s="7">
        <v>0</v>
      </c>
      <c r="K56" s="8">
        <f t="shared" si="20"/>
        <v>0</v>
      </c>
      <c r="N56" s="7" t="s">
        <v>241</v>
      </c>
      <c r="O56" s="8">
        <v>230000</v>
      </c>
      <c r="P56" s="7">
        <v>0</v>
      </c>
      <c r="Q56" s="8">
        <f t="shared" si="21"/>
        <v>0</v>
      </c>
      <c r="R56" s="8">
        <v>230000</v>
      </c>
      <c r="S56" s="7">
        <v>0</v>
      </c>
      <c r="T56" s="8">
        <f t="shared" si="22"/>
        <v>0</v>
      </c>
      <c r="U56" s="8">
        <v>230000</v>
      </c>
      <c r="V56" s="7">
        <v>0</v>
      </c>
      <c r="W56" s="8">
        <f t="shared" si="23"/>
        <v>0</v>
      </c>
    </row>
    <row r="57" spans="2:23">
      <c r="B57" s="9"/>
      <c r="C57" s="9"/>
      <c r="D57" s="6" t="s">
        <v>48</v>
      </c>
      <c r="E57" s="10">
        <f>SUM(E48:E56)</f>
        <v>47837144.444444411</v>
      </c>
      <c r="F57" s="9"/>
      <c r="G57" s="6" t="s">
        <v>48</v>
      </c>
      <c r="H57" s="10">
        <f>SUM(H48:H56)</f>
        <v>52679761.538461581</v>
      </c>
      <c r="I57" s="9"/>
      <c r="J57" s="6" t="s">
        <v>48</v>
      </c>
      <c r="K57" s="10">
        <f>SUM(K48:K56)</f>
        <v>50569600</v>
      </c>
      <c r="N57" s="9"/>
      <c r="O57" s="9"/>
      <c r="P57" s="6" t="s">
        <v>48</v>
      </c>
      <c r="Q57" s="10">
        <f>SUM(Q48:Q56)</f>
        <v>47722144.444444411</v>
      </c>
      <c r="R57" s="9"/>
      <c r="S57" s="6" t="s">
        <v>48</v>
      </c>
      <c r="T57" s="15">
        <f>SUM(T48:T56)</f>
        <v>52564761.538461581</v>
      </c>
      <c r="U57" s="9"/>
      <c r="V57" s="6" t="s">
        <v>48</v>
      </c>
      <c r="W57" s="10">
        <f>SUM(W48:W56)</f>
        <v>50339600</v>
      </c>
    </row>
    <row r="58" spans="2:23">
      <c r="K58" s="14">
        <f>(E57+H57+K57)/3</f>
        <v>50362168.660968661</v>
      </c>
      <c r="W58" s="14">
        <f>(Q57+T57+W57)/3</f>
        <v>50208835.327635325</v>
      </c>
    </row>
    <row r="59" spans="2:23">
      <c r="K59" s="14"/>
      <c r="W59" s="14"/>
    </row>
    <row r="60" spans="2:23">
      <c r="B60" s="354" t="s">
        <v>286</v>
      </c>
      <c r="C60" s="268" t="s">
        <v>10</v>
      </c>
      <c r="D60" s="347"/>
      <c r="E60" s="269"/>
      <c r="F60" s="268" t="s">
        <v>15</v>
      </c>
      <c r="G60" s="347"/>
      <c r="H60" s="269"/>
      <c r="I60" s="268" t="s">
        <v>17</v>
      </c>
      <c r="J60" s="347"/>
      <c r="K60" s="269"/>
      <c r="N60" s="354" t="s">
        <v>286</v>
      </c>
      <c r="O60" s="268" t="s">
        <v>10</v>
      </c>
      <c r="P60" s="347"/>
      <c r="Q60" s="269"/>
      <c r="R60" s="268" t="s">
        <v>15</v>
      </c>
      <c r="S60" s="347"/>
      <c r="T60" s="269"/>
      <c r="U60" s="268" t="s">
        <v>17</v>
      </c>
      <c r="V60" s="347"/>
      <c r="W60" s="269"/>
    </row>
    <row r="61" spans="2:23">
      <c r="B61" s="355"/>
      <c r="C61" s="5" t="s">
        <v>180</v>
      </c>
      <c r="D61" s="6" t="s">
        <v>41</v>
      </c>
      <c r="E61" s="6" t="s">
        <v>44</v>
      </c>
      <c r="F61" s="5" t="s">
        <v>180</v>
      </c>
      <c r="G61" s="6" t="s">
        <v>41</v>
      </c>
      <c r="H61" s="6" t="s">
        <v>44</v>
      </c>
      <c r="I61" s="5" t="s">
        <v>180</v>
      </c>
      <c r="J61" s="6" t="s">
        <v>41</v>
      </c>
      <c r="K61" s="6" t="s">
        <v>44</v>
      </c>
      <c r="N61" s="355"/>
      <c r="O61" s="5" t="s">
        <v>180</v>
      </c>
      <c r="P61" s="6" t="s">
        <v>41</v>
      </c>
      <c r="Q61" s="6" t="s">
        <v>44</v>
      </c>
      <c r="R61" s="5" t="s">
        <v>180</v>
      </c>
      <c r="S61" s="6" t="s">
        <v>41</v>
      </c>
      <c r="T61" s="6" t="s">
        <v>44</v>
      </c>
      <c r="U61" s="5" t="s">
        <v>180</v>
      </c>
      <c r="V61" s="6" t="s">
        <v>41</v>
      </c>
      <c r="W61" s="6" t="s">
        <v>44</v>
      </c>
    </row>
    <row r="62" spans="2:23">
      <c r="B62" s="7" t="s">
        <v>233</v>
      </c>
      <c r="C62" s="8">
        <v>35682222.222222202</v>
      </c>
      <c r="D62" s="7">
        <v>1</v>
      </c>
      <c r="E62" s="8">
        <f t="shared" ref="E62:E70" si="24">+C62*D62</f>
        <v>35682222.222222202</v>
      </c>
      <c r="F62" s="8">
        <v>35975076.923076898</v>
      </c>
      <c r="G62" s="7">
        <v>1</v>
      </c>
      <c r="H62" s="13">
        <f t="shared" ref="H62:H70" si="25">+F62*G62</f>
        <v>35975076.923076898</v>
      </c>
      <c r="I62" s="8">
        <v>36203833.333333299</v>
      </c>
      <c r="J62" s="7">
        <v>1</v>
      </c>
      <c r="K62" s="8">
        <f t="shared" ref="K62:K70" si="26">+I62*J62</f>
        <v>36203833.333333299</v>
      </c>
      <c r="N62" s="7" t="s">
        <v>233</v>
      </c>
      <c r="O62" s="8">
        <v>35682222.222222202</v>
      </c>
      <c r="P62" s="7">
        <v>1</v>
      </c>
      <c r="Q62" s="8">
        <f t="shared" ref="Q62:Q70" si="27">+O62*P62</f>
        <v>35682222.222222202</v>
      </c>
      <c r="R62" s="8">
        <v>35975076.923076898</v>
      </c>
      <c r="S62" s="7">
        <v>1</v>
      </c>
      <c r="T62" s="8">
        <f t="shared" ref="T62:T70" si="28">+R62*S62</f>
        <v>35975076.923076898</v>
      </c>
      <c r="U62" s="8">
        <v>36203833.333333299</v>
      </c>
      <c r="V62" s="7">
        <v>1</v>
      </c>
      <c r="W62" s="8">
        <f t="shared" ref="W62:W70" si="29">+U62*V62</f>
        <v>36203833.333333299</v>
      </c>
    </row>
    <row r="63" spans="2:23">
      <c r="B63" s="7" t="s">
        <v>234</v>
      </c>
      <c r="C63" s="8">
        <v>7021111.1111111101</v>
      </c>
      <c r="D63" s="7">
        <v>1</v>
      </c>
      <c r="E63" s="8">
        <f t="shared" si="24"/>
        <v>7021111.1111111101</v>
      </c>
      <c r="F63" s="8">
        <v>9786923.0769230798</v>
      </c>
      <c r="G63" s="7">
        <v>1</v>
      </c>
      <c r="H63" s="13">
        <f t="shared" si="25"/>
        <v>9786923.0769230798</v>
      </c>
      <c r="I63" s="8">
        <v>9298500</v>
      </c>
      <c r="J63" s="7">
        <v>1</v>
      </c>
      <c r="K63" s="8">
        <f t="shared" si="26"/>
        <v>9298500</v>
      </c>
      <c r="N63" s="7" t="s">
        <v>234</v>
      </c>
      <c r="O63" s="8">
        <v>7021111.1111111101</v>
      </c>
      <c r="P63" s="7">
        <v>1</v>
      </c>
      <c r="Q63" s="8">
        <f t="shared" si="27"/>
        <v>7021111.1111111101</v>
      </c>
      <c r="R63" s="8">
        <v>9786923.0769230798</v>
      </c>
      <c r="S63" s="7">
        <v>1</v>
      </c>
      <c r="T63" s="8">
        <f t="shared" si="28"/>
        <v>9786923.0769230798</v>
      </c>
      <c r="U63" s="8">
        <v>9298500</v>
      </c>
      <c r="V63" s="7">
        <v>1</v>
      </c>
      <c r="W63" s="8">
        <f t="shared" si="29"/>
        <v>9298500</v>
      </c>
    </row>
    <row r="64" spans="2:23">
      <c r="B64" s="7" t="s">
        <v>235</v>
      </c>
      <c r="C64" s="8">
        <v>6600</v>
      </c>
      <c r="D64" s="7">
        <v>0</v>
      </c>
      <c r="E64" s="8">
        <f t="shared" si="24"/>
        <v>0</v>
      </c>
      <c r="F64" s="8">
        <v>6600</v>
      </c>
      <c r="G64" s="7">
        <v>0</v>
      </c>
      <c r="H64" s="13">
        <f t="shared" si="25"/>
        <v>0</v>
      </c>
      <c r="I64" s="8">
        <v>6600</v>
      </c>
      <c r="J64" s="7">
        <v>0</v>
      </c>
      <c r="K64" s="8">
        <f t="shared" si="26"/>
        <v>0</v>
      </c>
      <c r="N64" s="7" t="s">
        <v>235</v>
      </c>
      <c r="O64" s="8">
        <v>4300</v>
      </c>
      <c r="P64" s="7">
        <v>0</v>
      </c>
      <c r="Q64" s="8">
        <f t="shared" si="27"/>
        <v>0</v>
      </c>
      <c r="R64" s="8">
        <v>4300</v>
      </c>
      <c r="S64" s="7">
        <v>0</v>
      </c>
      <c r="T64" s="8">
        <f t="shared" si="28"/>
        <v>0</v>
      </c>
      <c r="U64" s="8">
        <v>4300</v>
      </c>
      <c r="V64" s="7">
        <v>0</v>
      </c>
      <c r="W64" s="8">
        <f t="shared" si="29"/>
        <v>0</v>
      </c>
    </row>
    <row r="65" spans="2:23">
      <c r="B65" s="7" t="s">
        <v>236</v>
      </c>
      <c r="C65" s="8">
        <v>80300</v>
      </c>
      <c r="D65" s="7">
        <v>19</v>
      </c>
      <c r="E65" s="8">
        <f t="shared" si="24"/>
        <v>1525700</v>
      </c>
      <c r="F65" s="8">
        <v>80300</v>
      </c>
      <c r="G65" s="7">
        <v>41</v>
      </c>
      <c r="H65" s="13">
        <f t="shared" si="25"/>
        <v>3292300</v>
      </c>
      <c r="I65" s="8">
        <v>80300</v>
      </c>
      <c r="J65" s="7">
        <v>12</v>
      </c>
      <c r="K65" s="8">
        <f t="shared" si="26"/>
        <v>963600</v>
      </c>
      <c r="N65" s="7" t="s">
        <v>236</v>
      </c>
      <c r="O65" s="8">
        <v>80300</v>
      </c>
      <c r="P65" s="7">
        <v>19</v>
      </c>
      <c r="Q65" s="8">
        <f t="shared" si="27"/>
        <v>1525700</v>
      </c>
      <c r="R65" s="8">
        <v>80300</v>
      </c>
      <c r="S65" s="7">
        <v>41</v>
      </c>
      <c r="T65" s="8">
        <f t="shared" si="28"/>
        <v>3292300</v>
      </c>
      <c r="U65" s="8">
        <v>80300</v>
      </c>
      <c r="V65" s="7">
        <v>12</v>
      </c>
      <c r="W65" s="8">
        <f t="shared" si="29"/>
        <v>963600</v>
      </c>
    </row>
    <row r="66" spans="2:23">
      <c r="B66" s="7" t="s">
        <v>237</v>
      </c>
      <c r="C66" s="8">
        <v>1100000</v>
      </c>
      <c r="D66" s="7">
        <v>0.5</v>
      </c>
      <c r="E66" s="8">
        <f t="shared" si="24"/>
        <v>550000</v>
      </c>
      <c r="F66" s="8">
        <v>1100000</v>
      </c>
      <c r="G66" s="7">
        <v>0.5</v>
      </c>
      <c r="H66" s="13">
        <f t="shared" si="25"/>
        <v>550000</v>
      </c>
      <c r="I66" s="8">
        <v>1100000</v>
      </c>
      <c r="J66" s="7">
        <v>1</v>
      </c>
      <c r="K66" s="8">
        <f t="shared" si="26"/>
        <v>1100000</v>
      </c>
      <c r="N66" s="7" t="s">
        <v>237</v>
      </c>
      <c r="O66" s="8">
        <v>870000</v>
      </c>
      <c r="P66" s="7">
        <v>0.5</v>
      </c>
      <c r="Q66" s="8">
        <f t="shared" si="27"/>
        <v>435000</v>
      </c>
      <c r="R66" s="8">
        <v>870000</v>
      </c>
      <c r="S66" s="7">
        <v>0.5</v>
      </c>
      <c r="T66" s="8">
        <f t="shared" si="28"/>
        <v>435000</v>
      </c>
      <c r="U66" s="8">
        <v>870000</v>
      </c>
      <c r="V66" s="7">
        <v>1</v>
      </c>
      <c r="W66" s="8">
        <f t="shared" si="29"/>
        <v>870000</v>
      </c>
    </row>
    <row r="67" spans="2:23">
      <c r="B67" s="7" t="s">
        <v>238</v>
      </c>
      <c r="C67" s="8">
        <v>550000</v>
      </c>
      <c r="D67" s="7">
        <v>0</v>
      </c>
      <c r="E67" s="8">
        <f t="shared" si="24"/>
        <v>0</v>
      </c>
      <c r="F67" s="8">
        <v>550000</v>
      </c>
      <c r="G67" s="7">
        <v>0</v>
      </c>
      <c r="H67" s="13">
        <f t="shared" si="25"/>
        <v>0</v>
      </c>
      <c r="I67" s="8">
        <v>550000</v>
      </c>
      <c r="J67" s="7">
        <v>0</v>
      </c>
      <c r="K67" s="8">
        <f t="shared" si="26"/>
        <v>0</v>
      </c>
      <c r="N67" s="7" t="s">
        <v>238</v>
      </c>
      <c r="O67" s="8">
        <v>435000</v>
      </c>
      <c r="P67" s="7">
        <v>0</v>
      </c>
      <c r="Q67" s="8">
        <f t="shared" si="27"/>
        <v>0</v>
      </c>
      <c r="R67" s="8">
        <v>435000</v>
      </c>
      <c r="S67" s="7">
        <v>0</v>
      </c>
      <c r="T67" s="8">
        <f t="shared" si="28"/>
        <v>0</v>
      </c>
      <c r="U67" s="8">
        <v>435000</v>
      </c>
      <c r="V67" s="7">
        <v>0</v>
      </c>
      <c r="W67" s="8">
        <f t="shared" si="29"/>
        <v>0</v>
      </c>
    </row>
    <row r="68" spans="2:23">
      <c r="B68" s="7" t="s">
        <v>239</v>
      </c>
      <c r="C68" s="8">
        <v>420000</v>
      </c>
      <c r="D68" s="7">
        <v>0</v>
      </c>
      <c r="E68" s="8">
        <f t="shared" si="24"/>
        <v>0</v>
      </c>
      <c r="F68" s="8">
        <v>420000</v>
      </c>
      <c r="G68" s="7">
        <v>0</v>
      </c>
      <c r="H68" s="13">
        <f t="shared" si="25"/>
        <v>0</v>
      </c>
      <c r="I68" s="8">
        <v>420000</v>
      </c>
      <c r="J68" s="7">
        <v>0</v>
      </c>
      <c r="K68" s="8">
        <f t="shared" si="26"/>
        <v>0</v>
      </c>
      <c r="N68" s="7" t="s">
        <v>239</v>
      </c>
      <c r="O68" s="8">
        <v>420000</v>
      </c>
      <c r="P68" s="7">
        <v>0</v>
      </c>
      <c r="Q68" s="8">
        <f t="shared" si="27"/>
        <v>0</v>
      </c>
      <c r="R68" s="8">
        <v>420000</v>
      </c>
      <c r="S68" s="7">
        <v>0</v>
      </c>
      <c r="T68" s="8">
        <f t="shared" si="28"/>
        <v>0</v>
      </c>
      <c r="U68" s="8">
        <v>420000</v>
      </c>
      <c r="V68" s="7">
        <v>0</v>
      </c>
      <c r="W68" s="8">
        <f t="shared" si="29"/>
        <v>0</v>
      </c>
    </row>
    <row r="69" spans="2:23">
      <c r="B69" s="7" t="s">
        <v>240</v>
      </c>
      <c r="C69" s="8">
        <v>450000</v>
      </c>
      <c r="D69" s="7">
        <v>0</v>
      </c>
      <c r="E69" s="8">
        <f t="shared" si="24"/>
        <v>0</v>
      </c>
      <c r="F69" s="8">
        <v>450000</v>
      </c>
      <c r="G69" s="7">
        <v>0</v>
      </c>
      <c r="H69" s="13">
        <f t="shared" si="25"/>
        <v>0</v>
      </c>
      <c r="I69" s="8">
        <v>450000</v>
      </c>
      <c r="J69" s="7">
        <v>0</v>
      </c>
      <c r="K69" s="8">
        <f t="shared" si="26"/>
        <v>0</v>
      </c>
      <c r="N69" s="7" t="s">
        <v>240</v>
      </c>
      <c r="O69" s="8">
        <v>450000</v>
      </c>
      <c r="P69" s="7">
        <v>0</v>
      </c>
      <c r="Q69" s="8">
        <f t="shared" si="27"/>
        <v>0</v>
      </c>
      <c r="R69" s="8">
        <v>450000</v>
      </c>
      <c r="S69" s="7">
        <v>0</v>
      </c>
      <c r="T69" s="8">
        <f t="shared" si="28"/>
        <v>0</v>
      </c>
      <c r="U69" s="8">
        <v>450000</v>
      </c>
      <c r="V69" s="7">
        <v>0</v>
      </c>
      <c r="W69" s="8">
        <f t="shared" si="29"/>
        <v>0</v>
      </c>
    </row>
    <row r="70" spans="2:23">
      <c r="B70" s="7" t="s">
        <v>241</v>
      </c>
      <c r="C70" s="8">
        <v>230000</v>
      </c>
      <c r="D70" s="7">
        <v>0</v>
      </c>
      <c r="E70" s="8">
        <f t="shared" si="24"/>
        <v>0</v>
      </c>
      <c r="F70" s="8">
        <v>230000</v>
      </c>
      <c r="G70" s="7">
        <v>0</v>
      </c>
      <c r="H70" s="13">
        <f t="shared" si="25"/>
        <v>0</v>
      </c>
      <c r="I70" s="8">
        <v>230000</v>
      </c>
      <c r="J70" s="7">
        <v>0</v>
      </c>
      <c r="K70" s="8">
        <f t="shared" si="26"/>
        <v>0</v>
      </c>
      <c r="N70" s="7" t="s">
        <v>241</v>
      </c>
      <c r="O70" s="8">
        <v>230000</v>
      </c>
      <c r="P70" s="7">
        <v>0</v>
      </c>
      <c r="Q70" s="8">
        <f t="shared" si="27"/>
        <v>0</v>
      </c>
      <c r="R70" s="8">
        <v>230000</v>
      </c>
      <c r="S70" s="7">
        <v>0</v>
      </c>
      <c r="T70" s="8">
        <f t="shared" si="28"/>
        <v>0</v>
      </c>
      <c r="U70" s="8">
        <v>230000</v>
      </c>
      <c r="V70" s="7">
        <v>0</v>
      </c>
      <c r="W70" s="8">
        <f t="shared" si="29"/>
        <v>0</v>
      </c>
    </row>
    <row r="71" spans="2:23">
      <c r="B71" s="9"/>
      <c r="C71" s="9"/>
      <c r="D71" s="6" t="s">
        <v>48</v>
      </c>
      <c r="E71" s="10">
        <f>SUM(E62:E70)</f>
        <v>44779033.333333313</v>
      </c>
      <c r="F71" s="9"/>
      <c r="G71" s="6" t="s">
        <v>48</v>
      </c>
      <c r="H71" s="10">
        <f>SUM(H62:H70)</f>
        <v>49604299.999999978</v>
      </c>
      <c r="I71" s="9"/>
      <c r="J71" s="6" t="s">
        <v>48</v>
      </c>
      <c r="K71" s="10">
        <f>SUM(K62:K70)</f>
        <v>47565933.333333299</v>
      </c>
      <c r="N71" s="9"/>
      <c r="O71" s="9"/>
      <c r="P71" s="6" t="s">
        <v>48</v>
      </c>
      <c r="Q71" s="10">
        <f>SUM(Q62:Q70)</f>
        <v>44664033.333333313</v>
      </c>
      <c r="R71" s="9"/>
      <c r="S71" s="6" t="s">
        <v>48</v>
      </c>
      <c r="T71" s="15">
        <f>SUM(T62:T70)</f>
        <v>49489299.999999978</v>
      </c>
      <c r="U71" s="9"/>
      <c r="V71" s="6" t="s">
        <v>48</v>
      </c>
      <c r="W71" s="10">
        <f>SUM(W62:W70)</f>
        <v>47335933.333333299</v>
      </c>
    </row>
    <row r="72" spans="2:23">
      <c r="K72" s="14">
        <f>(E71+H71+K71)/3</f>
        <v>47316422.222222187</v>
      </c>
      <c r="W72" s="14">
        <f>(Q71+T71+W71)/3</f>
        <v>47163088.888888858</v>
      </c>
    </row>
    <row r="73" spans="2:23">
      <c r="K73" s="14"/>
      <c r="W73" s="14"/>
    </row>
    <row r="74" spans="2:23">
      <c r="B74" s="354" t="s">
        <v>287</v>
      </c>
      <c r="C74" s="268" t="s">
        <v>10</v>
      </c>
      <c r="D74" s="347"/>
      <c r="E74" s="269"/>
      <c r="F74" s="268" t="s">
        <v>15</v>
      </c>
      <c r="G74" s="347"/>
      <c r="H74" s="269"/>
      <c r="I74" s="268" t="s">
        <v>17</v>
      </c>
      <c r="J74" s="347"/>
      <c r="K74" s="269"/>
      <c r="N74" s="354" t="s">
        <v>287</v>
      </c>
      <c r="O74" s="268" t="s">
        <v>10</v>
      </c>
      <c r="P74" s="347"/>
      <c r="Q74" s="269"/>
      <c r="R74" s="268" t="s">
        <v>15</v>
      </c>
      <c r="S74" s="347"/>
      <c r="T74" s="269"/>
      <c r="U74" s="268" t="s">
        <v>17</v>
      </c>
      <c r="V74" s="347"/>
      <c r="W74" s="269"/>
    </row>
    <row r="75" spans="2:23">
      <c r="B75" s="355"/>
      <c r="C75" s="5" t="s">
        <v>180</v>
      </c>
      <c r="D75" s="6" t="s">
        <v>41</v>
      </c>
      <c r="E75" s="6" t="s">
        <v>44</v>
      </c>
      <c r="F75" s="5" t="s">
        <v>180</v>
      </c>
      <c r="G75" s="6" t="s">
        <v>41</v>
      </c>
      <c r="H75" s="6" t="s">
        <v>44</v>
      </c>
      <c r="I75" s="5" t="s">
        <v>180</v>
      </c>
      <c r="J75" s="6" t="s">
        <v>41</v>
      </c>
      <c r="K75" s="6" t="s">
        <v>44</v>
      </c>
      <c r="N75" s="355"/>
      <c r="O75" s="5" t="s">
        <v>180</v>
      </c>
      <c r="P75" s="6" t="s">
        <v>41</v>
      </c>
      <c r="Q75" s="6" t="s">
        <v>44</v>
      </c>
      <c r="R75" s="5" t="s">
        <v>180</v>
      </c>
      <c r="S75" s="6" t="s">
        <v>41</v>
      </c>
      <c r="T75" s="6" t="s">
        <v>44</v>
      </c>
      <c r="U75" s="5" t="s">
        <v>180</v>
      </c>
      <c r="V75" s="6" t="s">
        <v>41</v>
      </c>
      <c r="W75" s="6" t="s">
        <v>44</v>
      </c>
    </row>
    <row r="76" spans="2:23">
      <c r="B76" s="7" t="s">
        <v>233</v>
      </c>
      <c r="C76" s="8">
        <v>33769076.306172803</v>
      </c>
      <c r="D76" s="7">
        <v>1</v>
      </c>
      <c r="E76" s="8">
        <f t="shared" ref="E76:E84" si="30">+C76*D76</f>
        <v>33769076.306172803</v>
      </c>
      <c r="F76" s="8">
        <v>35495742.959259301</v>
      </c>
      <c r="G76" s="7">
        <v>1</v>
      </c>
      <c r="H76" s="8">
        <f t="shared" ref="H76:H84" si="31">+F76*G76</f>
        <v>35495742.959259301</v>
      </c>
      <c r="I76" s="8">
        <v>35635742.918518499</v>
      </c>
      <c r="J76" s="7">
        <v>1</v>
      </c>
      <c r="K76" s="8">
        <f t="shared" ref="K76:K84" si="32">+I76*J76</f>
        <v>35635742.918518499</v>
      </c>
      <c r="N76" s="7" t="s">
        <v>233</v>
      </c>
      <c r="O76" s="8">
        <v>33769076.306172803</v>
      </c>
      <c r="P76" s="7">
        <v>1</v>
      </c>
      <c r="Q76" s="8">
        <f t="shared" ref="Q76:Q84" si="33">+O76*P76</f>
        <v>33769076.306172803</v>
      </c>
      <c r="R76" s="8">
        <v>35495742.959259301</v>
      </c>
      <c r="S76" s="7">
        <v>1</v>
      </c>
      <c r="T76" s="8">
        <f t="shared" ref="T76:T84" si="34">+R76*S76</f>
        <v>35495742.959259301</v>
      </c>
      <c r="U76" s="8">
        <v>35635742.918518499</v>
      </c>
      <c r="V76" s="7">
        <v>1</v>
      </c>
      <c r="W76" s="8">
        <f t="shared" ref="W76:W84" si="35">+U76*V76</f>
        <v>35635742.918518499</v>
      </c>
    </row>
    <row r="77" spans="2:23">
      <c r="B77" s="7" t="s">
        <v>234</v>
      </c>
      <c r="C77" s="8">
        <v>5101558</v>
      </c>
      <c r="D77" s="7">
        <v>1</v>
      </c>
      <c r="E77" s="8">
        <f t="shared" si="30"/>
        <v>5101558</v>
      </c>
      <c r="F77" s="8">
        <v>7018704</v>
      </c>
      <c r="G77" s="7">
        <v>1</v>
      </c>
      <c r="H77" s="8">
        <f t="shared" si="31"/>
        <v>7018704</v>
      </c>
      <c r="I77" s="8">
        <v>6596282</v>
      </c>
      <c r="J77" s="7">
        <v>1</v>
      </c>
      <c r="K77" s="8">
        <f t="shared" si="32"/>
        <v>6596282</v>
      </c>
      <c r="N77" s="7" t="s">
        <v>234</v>
      </c>
      <c r="O77" s="8">
        <v>5101558</v>
      </c>
      <c r="P77" s="7">
        <v>1</v>
      </c>
      <c r="Q77" s="8">
        <f t="shared" si="33"/>
        <v>5101558</v>
      </c>
      <c r="R77" s="8">
        <v>7018704</v>
      </c>
      <c r="S77" s="7">
        <v>1</v>
      </c>
      <c r="T77" s="8">
        <f t="shared" si="34"/>
        <v>7018704</v>
      </c>
      <c r="U77" s="8">
        <v>6596282</v>
      </c>
      <c r="V77" s="7">
        <v>1</v>
      </c>
      <c r="W77" s="8">
        <f t="shared" si="35"/>
        <v>6596282</v>
      </c>
    </row>
    <row r="78" spans="2:23">
      <c r="B78" s="7" t="s">
        <v>235</v>
      </c>
      <c r="C78" s="8">
        <v>8000</v>
      </c>
      <c r="D78" s="7">
        <v>0</v>
      </c>
      <c r="E78" s="8">
        <f t="shared" si="30"/>
        <v>0</v>
      </c>
      <c r="F78" s="8">
        <v>8000</v>
      </c>
      <c r="G78" s="7">
        <v>0</v>
      </c>
      <c r="H78" s="8">
        <f t="shared" si="31"/>
        <v>0</v>
      </c>
      <c r="I78" s="8">
        <v>8000</v>
      </c>
      <c r="J78" s="7">
        <v>0</v>
      </c>
      <c r="K78" s="8">
        <f t="shared" si="32"/>
        <v>0</v>
      </c>
      <c r="N78" s="7" t="s">
        <v>235</v>
      </c>
      <c r="O78" s="8">
        <v>8000</v>
      </c>
      <c r="P78" s="7">
        <v>0</v>
      </c>
      <c r="Q78" s="8">
        <f t="shared" si="33"/>
        <v>0</v>
      </c>
      <c r="R78" s="8">
        <v>8000</v>
      </c>
      <c r="S78" s="7">
        <v>0</v>
      </c>
      <c r="T78" s="8">
        <f t="shared" si="34"/>
        <v>0</v>
      </c>
      <c r="U78" s="8">
        <v>8000</v>
      </c>
      <c r="V78" s="7">
        <v>0</v>
      </c>
      <c r="W78" s="8">
        <f t="shared" si="35"/>
        <v>0</v>
      </c>
    </row>
    <row r="79" spans="2:23">
      <c r="B79" s="7" t="s">
        <v>236</v>
      </c>
      <c r="C79" s="8">
        <v>80000</v>
      </c>
      <c r="D79" s="7">
        <v>19</v>
      </c>
      <c r="E79" s="8">
        <f t="shared" si="30"/>
        <v>1520000</v>
      </c>
      <c r="F79" s="8">
        <v>80000</v>
      </c>
      <c r="G79" s="7">
        <v>41</v>
      </c>
      <c r="H79" s="8">
        <f t="shared" si="31"/>
        <v>3280000</v>
      </c>
      <c r="I79" s="8">
        <v>80000</v>
      </c>
      <c r="J79" s="7">
        <v>12</v>
      </c>
      <c r="K79" s="8">
        <f t="shared" si="32"/>
        <v>960000</v>
      </c>
      <c r="N79" s="7" t="s">
        <v>236</v>
      </c>
      <c r="O79" s="8">
        <v>80000</v>
      </c>
      <c r="P79" s="7">
        <v>19</v>
      </c>
      <c r="Q79" s="8">
        <f t="shared" si="33"/>
        <v>1520000</v>
      </c>
      <c r="R79" s="8">
        <v>80000</v>
      </c>
      <c r="S79" s="7">
        <v>41</v>
      </c>
      <c r="T79" s="8">
        <f t="shared" si="34"/>
        <v>3280000</v>
      </c>
      <c r="U79" s="8">
        <v>80000</v>
      </c>
      <c r="V79" s="7">
        <v>12</v>
      </c>
      <c r="W79" s="8">
        <f t="shared" si="35"/>
        <v>960000</v>
      </c>
    </row>
    <row r="80" spans="2:23">
      <c r="B80" s="7" t="s">
        <v>237</v>
      </c>
      <c r="C80" s="8">
        <v>1800000</v>
      </c>
      <c r="D80" s="7">
        <v>0.5</v>
      </c>
      <c r="E80" s="8">
        <f t="shared" si="30"/>
        <v>900000</v>
      </c>
      <c r="F80" s="8">
        <v>1800000</v>
      </c>
      <c r="G80" s="7">
        <v>0.5</v>
      </c>
      <c r="H80" s="8">
        <f t="shared" si="31"/>
        <v>900000</v>
      </c>
      <c r="I80" s="8">
        <v>1800000</v>
      </c>
      <c r="J80" s="7">
        <v>1</v>
      </c>
      <c r="K80" s="8">
        <f t="shared" si="32"/>
        <v>1800000</v>
      </c>
      <c r="N80" s="7" t="s">
        <v>237</v>
      </c>
      <c r="O80" s="8">
        <v>1800000</v>
      </c>
      <c r="P80" s="7">
        <v>0.5</v>
      </c>
      <c r="Q80" s="8">
        <f t="shared" si="33"/>
        <v>900000</v>
      </c>
      <c r="R80" s="8">
        <v>1800000</v>
      </c>
      <c r="S80" s="7">
        <v>0.5</v>
      </c>
      <c r="T80" s="8">
        <f t="shared" si="34"/>
        <v>900000</v>
      </c>
      <c r="U80" s="8">
        <v>1800000</v>
      </c>
      <c r="V80" s="7">
        <v>1</v>
      </c>
      <c r="W80" s="8">
        <f t="shared" si="35"/>
        <v>1800000</v>
      </c>
    </row>
    <row r="81" spans="2:23">
      <c r="B81" s="7" t="s">
        <v>238</v>
      </c>
      <c r="C81" s="8">
        <v>1350000</v>
      </c>
      <c r="D81" s="7">
        <v>1</v>
      </c>
      <c r="E81" s="8">
        <f t="shared" si="30"/>
        <v>1350000</v>
      </c>
      <c r="F81" s="8">
        <v>1350000</v>
      </c>
      <c r="G81" s="7">
        <v>1</v>
      </c>
      <c r="H81" s="8">
        <f t="shared" si="31"/>
        <v>1350000</v>
      </c>
      <c r="I81" s="8">
        <v>1350000</v>
      </c>
      <c r="J81" s="7">
        <v>1</v>
      </c>
      <c r="K81" s="8">
        <f t="shared" si="32"/>
        <v>1350000</v>
      </c>
      <c r="N81" s="7" t="s">
        <v>238</v>
      </c>
      <c r="O81" s="8">
        <v>1350000</v>
      </c>
      <c r="P81" s="7">
        <v>1</v>
      </c>
      <c r="Q81" s="8">
        <f t="shared" si="33"/>
        <v>1350000</v>
      </c>
      <c r="R81" s="8">
        <v>1350000</v>
      </c>
      <c r="S81" s="7">
        <v>1</v>
      </c>
      <c r="T81" s="8">
        <f t="shared" si="34"/>
        <v>1350000</v>
      </c>
      <c r="U81" s="8">
        <v>1350000</v>
      </c>
      <c r="V81" s="7">
        <v>1</v>
      </c>
      <c r="W81" s="8">
        <f t="shared" si="35"/>
        <v>1350000</v>
      </c>
    </row>
    <row r="82" spans="2:23">
      <c r="B82" s="7" t="s">
        <v>239</v>
      </c>
      <c r="C82" s="8">
        <v>300000</v>
      </c>
      <c r="D82" s="7">
        <v>1</v>
      </c>
      <c r="E82" s="8">
        <f t="shared" si="30"/>
        <v>300000</v>
      </c>
      <c r="F82" s="8">
        <v>300000</v>
      </c>
      <c r="G82" s="7">
        <v>1</v>
      </c>
      <c r="H82" s="8">
        <f t="shared" si="31"/>
        <v>300000</v>
      </c>
      <c r="I82" s="8">
        <v>300000</v>
      </c>
      <c r="J82" s="7">
        <v>1</v>
      </c>
      <c r="K82" s="8">
        <f t="shared" si="32"/>
        <v>300000</v>
      </c>
      <c r="N82" s="7" t="s">
        <v>239</v>
      </c>
      <c r="O82" s="8">
        <v>300000</v>
      </c>
      <c r="P82" s="7">
        <v>1</v>
      </c>
      <c r="Q82" s="8">
        <f t="shared" si="33"/>
        <v>300000</v>
      </c>
      <c r="R82" s="8">
        <v>300000</v>
      </c>
      <c r="S82" s="7">
        <v>1</v>
      </c>
      <c r="T82" s="8">
        <f t="shared" si="34"/>
        <v>300000</v>
      </c>
      <c r="U82" s="8">
        <v>300000</v>
      </c>
      <c r="V82" s="7">
        <v>1</v>
      </c>
      <c r="W82" s="8">
        <f t="shared" si="35"/>
        <v>300000</v>
      </c>
    </row>
    <row r="83" spans="2:23">
      <c r="B83" s="7" t="s">
        <v>240</v>
      </c>
      <c r="C83" s="8">
        <v>200000</v>
      </c>
      <c r="D83" s="7">
        <v>1</v>
      </c>
      <c r="E83" s="8">
        <f t="shared" si="30"/>
        <v>200000</v>
      </c>
      <c r="F83" s="8">
        <v>200000</v>
      </c>
      <c r="G83" s="7">
        <v>1</v>
      </c>
      <c r="H83" s="8">
        <f t="shared" si="31"/>
        <v>200000</v>
      </c>
      <c r="I83" s="8">
        <v>200000</v>
      </c>
      <c r="J83" s="7">
        <v>1</v>
      </c>
      <c r="K83" s="8">
        <f t="shared" si="32"/>
        <v>200000</v>
      </c>
      <c r="N83" s="7" t="s">
        <v>240</v>
      </c>
      <c r="O83" s="8">
        <v>200000</v>
      </c>
      <c r="P83" s="7">
        <v>1</v>
      </c>
      <c r="Q83" s="8">
        <f t="shared" si="33"/>
        <v>200000</v>
      </c>
      <c r="R83" s="8">
        <v>200000</v>
      </c>
      <c r="S83" s="7">
        <v>1</v>
      </c>
      <c r="T83" s="8">
        <f t="shared" si="34"/>
        <v>200000</v>
      </c>
      <c r="U83" s="8">
        <v>200000</v>
      </c>
      <c r="V83" s="7">
        <v>1</v>
      </c>
      <c r="W83" s="8">
        <f t="shared" si="35"/>
        <v>200000</v>
      </c>
    </row>
    <row r="84" spans="2:23">
      <c r="B84" s="7" t="s">
        <v>241</v>
      </c>
      <c r="C84" s="8">
        <v>162470</v>
      </c>
      <c r="D84" s="7">
        <v>0</v>
      </c>
      <c r="E84" s="8">
        <f t="shared" si="30"/>
        <v>0</v>
      </c>
      <c r="F84" s="8">
        <v>162470</v>
      </c>
      <c r="G84" s="7">
        <v>0</v>
      </c>
      <c r="H84" s="8">
        <f t="shared" si="31"/>
        <v>0</v>
      </c>
      <c r="I84" s="8">
        <v>162470</v>
      </c>
      <c r="J84" s="7">
        <v>0</v>
      </c>
      <c r="K84" s="8">
        <f t="shared" si="32"/>
        <v>0</v>
      </c>
      <c r="N84" s="7" t="s">
        <v>241</v>
      </c>
      <c r="O84" s="8">
        <v>162470</v>
      </c>
      <c r="P84" s="7">
        <v>0</v>
      </c>
      <c r="Q84" s="8">
        <f t="shared" si="33"/>
        <v>0</v>
      </c>
      <c r="R84" s="8">
        <v>162470</v>
      </c>
      <c r="S84" s="7">
        <v>0</v>
      </c>
      <c r="T84" s="8">
        <f t="shared" si="34"/>
        <v>0</v>
      </c>
      <c r="U84" s="8">
        <v>162470</v>
      </c>
      <c r="V84" s="7">
        <v>0</v>
      </c>
      <c r="W84" s="8">
        <f t="shared" si="35"/>
        <v>0</v>
      </c>
    </row>
    <row r="85" spans="2:23">
      <c r="B85" s="9"/>
      <c r="C85" s="9"/>
      <c r="D85" s="6" t="s">
        <v>48</v>
      </c>
      <c r="E85" s="10">
        <f>SUM(E76:E84)</f>
        <v>43140634.306172803</v>
      </c>
      <c r="F85" s="9"/>
      <c r="G85" s="6" t="s">
        <v>48</v>
      </c>
      <c r="H85" s="17">
        <f>SUM(H76:H84)</f>
        <v>48544446.959259301</v>
      </c>
      <c r="I85" s="9"/>
      <c r="J85" s="6" t="s">
        <v>48</v>
      </c>
      <c r="K85" s="10">
        <f>SUM(K76:K84)</f>
        <v>46842024.918518499</v>
      </c>
      <c r="N85" s="9"/>
      <c r="O85" s="9"/>
      <c r="P85" s="6" t="s">
        <v>48</v>
      </c>
      <c r="Q85" s="10">
        <f>SUM(Q76:Q84)</f>
        <v>43140634.306172803</v>
      </c>
      <c r="R85" s="9"/>
      <c r="S85" s="6" t="s">
        <v>48</v>
      </c>
      <c r="T85" s="15">
        <f>SUM(T76:T84)</f>
        <v>48544446.959259301</v>
      </c>
      <c r="U85" s="9"/>
      <c r="V85" s="6" t="s">
        <v>48</v>
      </c>
      <c r="W85" s="10">
        <f>SUM(W76:W84)</f>
        <v>46842024.918518499</v>
      </c>
    </row>
    <row r="86" spans="2:23">
      <c r="K86" s="14">
        <f>(E85+H85+K85)/3</f>
        <v>46175702.06131687</v>
      </c>
      <c r="W86" s="14">
        <f>(Q85+T85+W85)/3</f>
        <v>46175702.06131687</v>
      </c>
    </row>
    <row r="89" spans="2:23" hidden="1">
      <c r="B89" s="354" t="s">
        <v>7</v>
      </c>
      <c r="C89" s="268" t="s">
        <v>10</v>
      </c>
      <c r="D89" s="347"/>
      <c r="E89" s="269"/>
      <c r="F89" s="268" t="s">
        <v>15</v>
      </c>
      <c r="G89" s="347"/>
      <c r="H89" s="269"/>
      <c r="I89" s="268" t="s">
        <v>17</v>
      </c>
      <c r="J89" s="347"/>
      <c r="K89" s="269"/>
      <c r="N89" s="354" t="s">
        <v>7</v>
      </c>
      <c r="O89" s="268" t="s">
        <v>10</v>
      </c>
      <c r="P89" s="347"/>
      <c r="Q89" s="269"/>
      <c r="R89" s="268" t="s">
        <v>15</v>
      </c>
      <c r="S89" s="347"/>
      <c r="T89" s="269"/>
      <c r="U89" s="268" t="s">
        <v>17</v>
      </c>
      <c r="V89" s="347"/>
      <c r="W89" s="269"/>
    </row>
    <row r="90" spans="2:23" hidden="1">
      <c r="B90" s="355"/>
      <c r="C90" s="5" t="s">
        <v>180</v>
      </c>
      <c r="D90" s="6" t="s">
        <v>41</v>
      </c>
      <c r="E90" s="6" t="s">
        <v>44</v>
      </c>
      <c r="F90" s="5" t="s">
        <v>180</v>
      </c>
      <c r="G90" s="6" t="s">
        <v>41</v>
      </c>
      <c r="H90" s="6" t="s">
        <v>44</v>
      </c>
      <c r="I90" s="5" t="s">
        <v>180</v>
      </c>
      <c r="J90" s="6" t="s">
        <v>41</v>
      </c>
      <c r="K90" s="6" t="s">
        <v>44</v>
      </c>
      <c r="N90" s="355"/>
      <c r="O90" s="5" t="s">
        <v>180</v>
      </c>
      <c r="P90" s="6" t="s">
        <v>41</v>
      </c>
      <c r="Q90" s="6" t="s">
        <v>44</v>
      </c>
      <c r="R90" s="5" t="s">
        <v>180</v>
      </c>
      <c r="S90" s="6" t="s">
        <v>41</v>
      </c>
      <c r="T90" s="6" t="s">
        <v>44</v>
      </c>
      <c r="U90" s="5" t="s">
        <v>180</v>
      </c>
      <c r="V90" s="6" t="s">
        <v>41</v>
      </c>
      <c r="W90" s="6" t="s">
        <v>44</v>
      </c>
    </row>
    <row r="91" spans="2:23" hidden="1">
      <c r="B91" s="7" t="s">
        <v>233</v>
      </c>
      <c r="C91" s="8"/>
      <c r="D91" s="7">
        <v>1</v>
      </c>
      <c r="E91" s="8">
        <f t="shared" ref="E91:E99" si="36">+C91*D91</f>
        <v>0</v>
      </c>
      <c r="F91" s="13"/>
      <c r="G91" s="7">
        <v>1</v>
      </c>
      <c r="H91" s="8">
        <f t="shared" ref="H91:H99" si="37">+F91*G91</f>
        <v>0</v>
      </c>
      <c r="I91" s="8"/>
      <c r="J91" s="7">
        <v>1</v>
      </c>
      <c r="K91" s="8">
        <f t="shared" ref="K91:K99" si="38">+I91*J91</f>
        <v>0</v>
      </c>
      <c r="N91" s="7" t="s">
        <v>233</v>
      </c>
      <c r="O91" s="8"/>
      <c r="P91" s="7">
        <v>1</v>
      </c>
      <c r="Q91" s="8">
        <f t="shared" ref="Q91:Q99" si="39">+O91*P91</f>
        <v>0</v>
      </c>
      <c r="R91" s="8"/>
      <c r="S91" s="7">
        <v>1</v>
      </c>
      <c r="T91" s="8">
        <f t="shared" ref="T91:T99" si="40">+R91*S91</f>
        <v>0</v>
      </c>
      <c r="U91" s="8"/>
      <c r="V91" s="7">
        <v>1</v>
      </c>
      <c r="W91" s="8">
        <f t="shared" ref="W91:W99" si="41">+U91*V91</f>
        <v>0</v>
      </c>
    </row>
    <row r="92" spans="2:23" hidden="1">
      <c r="B92" s="7" t="s">
        <v>234</v>
      </c>
      <c r="C92" s="8"/>
      <c r="D92" s="7">
        <v>1</v>
      </c>
      <c r="E92" s="8">
        <f t="shared" si="36"/>
        <v>0</v>
      </c>
      <c r="F92" s="13"/>
      <c r="G92" s="7">
        <v>1</v>
      </c>
      <c r="H92" s="8">
        <f t="shared" si="37"/>
        <v>0</v>
      </c>
      <c r="I92" s="8"/>
      <c r="J92" s="7">
        <v>1</v>
      </c>
      <c r="K92" s="8">
        <f t="shared" si="38"/>
        <v>0</v>
      </c>
      <c r="N92" s="7" t="s">
        <v>234</v>
      </c>
      <c r="O92" s="8"/>
      <c r="P92" s="7">
        <v>1</v>
      </c>
      <c r="Q92" s="8">
        <f t="shared" si="39"/>
        <v>0</v>
      </c>
      <c r="R92" s="8"/>
      <c r="S92" s="7">
        <v>1</v>
      </c>
      <c r="T92" s="8">
        <f t="shared" si="40"/>
        <v>0</v>
      </c>
      <c r="U92" s="8"/>
      <c r="V92" s="7">
        <v>1</v>
      </c>
      <c r="W92" s="8">
        <f t="shared" si="41"/>
        <v>0</v>
      </c>
    </row>
    <row r="93" spans="2:23" hidden="1">
      <c r="B93" s="7" t="s">
        <v>235</v>
      </c>
      <c r="C93" s="8"/>
      <c r="D93" s="7">
        <v>0</v>
      </c>
      <c r="E93" s="8">
        <f t="shared" si="36"/>
        <v>0</v>
      </c>
      <c r="F93" s="13"/>
      <c r="G93" s="7">
        <v>0</v>
      </c>
      <c r="H93" s="8">
        <f t="shared" si="37"/>
        <v>0</v>
      </c>
      <c r="I93" s="8"/>
      <c r="J93" s="7">
        <v>0</v>
      </c>
      <c r="K93" s="8">
        <f t="shared" si="38"/>
        <v>0</v>
      </c>
      <c r="N93" s="7" t="s">
        <v>235</v>
      </c>
      <c r="O93" s="8"/>
      <c r="P93" s="7">
        <v>0</v>
      </c>
      <c r="Q93" s="8">
        <f t="shared" si="39"/>
        <v>0</v>
      </c>
      <c r="R93" s="8"/>
      <c r="S93" s="7">
        <v>0</v>
      </c>
      <c r="T93" s="8">
        <f t="shared" si="40"/>
        <v>0</v>
      </c>
      <c r="U93" s="8"/>
      <c r="V93" s="7">
        <v>0</v>
      </c>
      <c r="W93" s="8">
        <f t="shared" si="41"/>
        <v>0</v>
      </c>
    </row>
    <row r="94" spans="2:23" hidden="1">
      <c r="B94" s="7" t="s">
        <v>236</v>
      </c>
      <c r="C94" s="8"/>
      <c r="D94" s="7">
        <v>19</v>
      </c>
      <c r="E94" s="8">
        <f t="shared" si="36"/>
        <v>0</v>
      </c>
      <c r="F94" s="13"/>
      <c r="G94" s="7">
        <v>41</v>
      </c>
      <c r="H94" s="8">
        <f t="shared" si="37"/>
        <v>0</v>
      </c>
      <c r="I94" s="8"/>
      <c r="J94" s="7">
        <v>12</v>
      </c>
      <c r="K94" s="8">
        <f t="shared" si="38"/>
        <v>0</v>
      </c>
      <c r="N94" s="7" t="s">
        <v>236</v>
      </c>
      <c r="O94" s="8"/>
      <c r="P94" s="7">
        <v>19</v>
      </c>
      <c r="Q94" s="8">
        <f t="shared" si="39"/>
        <v>0</v>
      </c>
      <c r="R94" s="8"/>
      <c r="S94" s="7">
        <v>41</v>
      </c>
      <c r="T94" s="8">
        <f t="shared" si="40"/>
        <v>0</v>
      </c>
      <c r="U94" s="8"/>
      <c r="V94" s="7">
        <v>12</v>
      </c>
      <c r="W94" s="8">
        <f t="shared" si="41"/>
        <v>0</v>
      </c>
    </row>
    <row r="95" spans="2:23" hidden="1">
      <c r="B95" s="7" t="s">
        <v>237</v>
      </c>
      <c r="C95" s="8"/>
      <c r="D95" s="7">
        <v>1</v>
      </c>
      <c r="E95" s="8">
        <f t="shared" si="36"/>
        <v>0</v>
      </c>
      <c r="F95" s="13"/>
      <c r="G95" s="7">
        <v>1</v>
      </c>
      <c r="H95" s="8">
        <f t="shared" si="37"/>
        <v>0</v>
      </c>
      <c r="I95" s="8"/>
      <c r="J95" s="7">
        <v>1</v>
      </c>
      <c r="K95" s="8">
        <f t="shared" si="38"/>
        <v>0</v>
      </c>
      <c r="N95" s="7" t="s">
        <v>237</v>
      </c>
      <c r="O95" s="8"/>
      <c r="P95" s="7">
        <v>1</v>
      </c>
      <c r="Q95" s="8">
        <f t="shared" si="39"/>
        <v>0</v>
      </c>
      <c r="R95" s="8"/>
      <c r="S95" s="7">
        <v>1</v>
      </c>
      <c r="T95" s="8">
        <f t="shared" si="40"/>
        <v>0</v>
      </c>
      <c r="U95" s="8"/>
      <c r="V95" s="7">
        <v>1</v>
      </c>
      <c r="W95" s="8">
        <f t="shared" si="41"/>
        <v>0</v>
      </c>
    </row>
    <row r="96" spans="2:23" hidden="1">
      <c r="B96" s="7" t="s">
        <v>238</v>
      </c>
      <c r="C96" s="8"/>
      <c r="D96" s="7">
        <v>1</v>
      </c>
      <c r="E96" s="8">
        <f t="shared" si="36"/>
        <v>0</v>
      </c>
      <c r="F96" s="13"/>
      <c r="G96" s="7">
        <v>1</v>
      </c>
      <c r="H96" s="8">
        <f t="shared" si="37"/>
        <v>0</v>
      </c>
      <c r="I96" s="8"/>
      <c r="J96" s="7">
        <v>1</v>
      </c>
      <c r="K96" s="8">
        <f t="shared" si="38"/>
        <v>0</v>
      </c>
      <c r="N96" s="7" t="s">
        <v>238</v>
      </c>
      <c r="O96" s="8"/>
      <c r="P96" s="7">
        <v>1</v>
      </c>
      <c r="Q96" s="8">
        <f t="shared" si="39"/>
        <v>0</v>
      </c>
      <c r="R96" s="8"/>
      <c r="S96" s="7">
        <v>1</v>
      </c>
      <c r="T96" s="8">
        <f t="shared" si="40"/>
        <v>0</v>
      </c>
      <c r="U96" s="8"/>
      <c r="V96" s="7">
        <v>1</v>
      </c>
      <c r="W96" s="8">
        <f t="shared" si="41"/>
        <v>0</v>
      </c>
    </row>
    <row r="97" spans="2:23" hidden="1">
      <c r="B97" s="7" t="s">
        <v>239</v>
      </c>
      <c r="C97" s="8"/>
      <c r="D97" s="7">
        <v>1</v>
      </c>
      <c r="E97" s="8">
        <f t="shared" si="36"/>
        <v>0</v>
      </c>
      <c r="F97" s="13"/>
      <c r="G97" s="7">
        <v>1</v>
      </c>
      <c r="H97" s="8">
        <f t="shared" si="37"/>
        <v>0</v>
      </c>
      <c r="I97" s="8"/>
      <c r="J97" s="7">
        <v>1</v>
      </c>
      <c r="K97" s="8">
        <f t="shared" si="38"/>
        <v>0</v>
      </c>
      <c r="N97" s="7" t="s">
        <v>239</v>
      </c>
      <c r="O97" s="8"/>
      <c r="P97" s="7">
        <v>1</v>
      </c>
      <c r="Q97" s="8">
        <f t="shared" si="39"/>
        <v>0</v>
      </c>
      <c r="R97" s="8"/>
      <c r="S97" s="7">
        <v>1</v>
      </c>
      <c r="T97" s="8">
        <f t="shared" si="40"/>
        <v>0</v>
      </c>
      <c r="U97" s="8"/>
      <c r="V97" s="7">
        <v>1</v>
      </c>
      <c r="W97" s="8">
        <f t="shared" si="41"/>
        <v>0</v>
      </c>
    </row>
    <row r="98" spans="2:23" hidden="1">
      <c r="B98" s="7" t="s">
        <v>240</v>
      </c>
      <c r="C98" s="8"/>
      <c r="D98" s="7">
        <v>1</v>
      </c>
      <c r="E98" s="8">
        <f t="shared" si="36"/>
        <v>0</v>
      </c>
      <c r="F98" s="13"/>
      <c r="G98" s="7">
        <v>1</v>
      </c>
      <c r="H98" s="8">
        <f t="shared" si="37"/>
        <v>0</v>
      </c>
      <c r="I98" s="8"/>
      <c r="J98" s="7">
        <v>1</v>
      </c>
      <c r="K98" s="8">
        <f t="shared" si="38"/>
        <v>0</v>
      </c>
      <c r="N98" s="7" t="s">
        <v>240</v>
      </c>
      <c r="O98" s="8"/>
      <c r="P98" s="7">
        <v>1</v>
      </c>
      <c r="Q98" s="8">
        <f t="shared" si="39"/>
        <v>0</v>
      </c>
      <c r="R98" s="8"/>
      <c r="S98" s="7">
        <v>1</v>
      </c>
      <c r="T98" s="8">
        <f t="shared" si="40"/>
        <v>0</v>
      </c>
      <c r="U98" s="8"/>
      <c r="V98" s="7">
        <v>1</v>
      </c>
      <c r="W98" s="8">
        <f t="shared" si="41"/>
        <v>0</v>
      </c>
    </row>
    <row r="99" spans="2:23" hidden="1">
      <c r="B99" s="7" t="s">
        <v>241</v>
      </c>
      <c r="C99" s="8"/>
      <c r="D99" s="7">
        <v>0</v>
      </c>
      <c r="E99" s="8">
        <f t="shared" si="36"/>
        <v>0</v>
      </c>
      <c r="F99" s="13"/>
      <c r="G99" s="7">
        <v>0</v>
      </c>
      <c r="H99" s="8">
        <f t="shared" si="37"/>
        <v>0</v>
      </c>
      <c r="I99" s="8"/>
      <c r="J99" s="7">
        <v>0</v>
      </c>
      <c r="K99" s="8">
        <f t="shared" si="38"/>
        <v>0</v>
      </c>
      <c r="N99" s="7" t="s">
        <v>241</v>
      </c>
      <c r="O99" s="8"/>
      <c r="P99" s="7">
        <v>0</v>
      </c>
      <c r="Q99" s="8">
        <f t="shared" si="39"/>
        <v>0</v>
      </c>
      <c r="R99" s="8"/>
      <c r="S99" s="7">
        <v>0</v>
      </c>
      <c r="T99" s="8">
        <f t="shared" si="40"/>
        <v>0</v>
      </c>
      <c r="U99" s="8"/>
      <c r="V99" s="7">
        <v>0</v>
      </c>
      <c r="W99" s="8">
        <f t="shared" si="41"/>
        <v>0</v>
      </c>
    </row>
    <row r="100" spans="2:23" hidden="1">
      <c r="B100" s="9"/>
      <c r="C100" s="9"/>
      <c r="D100" s="6" t="s">
        <v>48</v>
      </c>
      <c r="E100" s="10">
        <f>SUM(E91:E99)</f>
        <v>0</v>
      </c>
      <c r="F100" s="9"/>
      <c r="G100" s="6" t="s">
        <v>48</v>
      </c>
      <c r="H100" s="10">
        <f>SUM(H91:H99)</f>
        <v>0</v>
      </c>
      <c r="I100" s="10"/>
      <c r="J100" s="6" t="s">
        <v>48</v>
      </c>
      <c r="K100" s="10">
        <f>SUM(K91:K99)</f>
        <v>0</v>
      </c>
      <c r="N100" s="9"/>
      <c r="O100" s="9"/>
      <c r="P100" s="6" t="s">
        <v>48</v>
      </c>
      <c r="Q100" s="10">
        <f>SUM(Q91:Q99)</f>
        <v>0</v>
      </c>
      <c r="R100" s="9"/>
      <c r="S100" s="6" t="s">
        <v>48</v>
      </c>
      <c r="T100" s="15">
        <f>SUM(T91:T99)</f>
        <v>0</v>
      </c>
      <c r="U100" s="9"/>
      <c r="V100" s="6" t="s">
        <v>48</v>
      </c>
      <c r="W100" s="10">
        <f>SUM(W91:W99)</f>
        <v>0</v>
      </c>
    </row>
    <row r="101" spans="2:23">
      <c r="K101" s="14">
        <f>+E100+H100+K100</f>
        <v>0</v>
      </c>
      <c r="W101" s="14">
        <f>+Q100+T100+W100</f>
        <v>0</v>
      </c>
    </row>
    <row r="104" spans="2:23">
      <c r="B104" s="6" t="s">
        <v>205</v>
      </c>
      <c r="C104" s="6" t="s">
        <v>96</v>
      </c>
      <c r="D104" s="268" t="s">
        <v>227</v>
      </c>
      <c r="E104" s="269"/>
      <c r="F104" s="268" t="s">
        <v>230</v>
      </c>
      <c r="G104" s="269"/>
    </row>
    <row r="105" spans="2:23">
      <c r="B105" s="7"/>
      <c r="C105" s="18">
        <f>K15</f>
        <v>47151015.033333331</v>
      </c>
      <c r="D105" s="360"/>
      <c r="E105" s="361"/>
      <c r="F105" s="362"/>
      <c r="G105" s="363"/>
    </row>
    <row r="106" spans="2:23">
      <c r="B106" s="7" t="s">
        <v>283</v>
      </c>
      <c r="C106" s="19"/>
      <c r="D106" s="360">
        <f>+K29</f>
        <v>52464825.793650806</v>
      </c>
      <c r="E106" s="361"/>
      <c r="F106" s="362">
        <f>+W29</f>
        <v>52311492.46031747</v>
      </c>
      <c r="G106" s="363"/>
    </row>
    <row r="107" spans="2:23">
      <c r="B107" s="7" t="s">
        <v>284</v>
      </c>
      <c r="C107" s="19"/>
      <c r="D107" s="348">
        <f>+K44</f>
        <v>50285700.793650806</v>
      </c>
      <c r="E107" s="364"/>
      <c r="F107" s="362">
        <f>+W44</f>
        <v>50132367.46031747</v>
      </c>
      <c r="G107" s="363"/>
    </row>
    <row r="108" spans="2:23">
      <c r="B108" s="7" t="s">
        <v>285</v>
      </c>
      <c r="C108" s="7"/>
      <c r="D108" s="360">
        <f>+K58</f>
        <v>50362168.660968661</v>
      </c>
      <c r="E108" s="361"/>
      <c r="F108" s="365">
        <f>+W58</f>
        <v>50208835.327635325</v>
      </c>
      <c r="G108" s="366"/>
    </row>
    <row r="109" spans="2:23">
      <c r="B109" s="7" t="s">
        <v>286</v>
      </c>
      <c r="C109" s="7"/>
      <c r="D109" s="360">
        <f>+K72</f>
        <v>47316422.222222187</v>
      </c>
      <c r="E109" s="361"/>
      <c r="F109" s="365">
        <f>+W72</f>
        <v>47163088.888888858</v>
      </c>
      <c r="G109" s="366"/>
    </row>
    <row r="110" spans="2:23">
      <c r="B110" s="7" t="s">
        <v>287</v>
      </c>
      <c r="C110" s="7"/>
      <c r="D110" s="348">
        <f>+K86</f>
        <v>46175702.06131687</v>
      </c>
      <c r="E110" s="349"/>
      <c r="F110" s="365">
        <f>+W86</f>
        <v>46175702.06131687</v>
      </c>
      <c r="G110" s="366"/>
    </row>
    <row r="111" spans="2:23">
      <c r="D111" s="356">
        <f>+D107-C105</f>
        <v>3134685.7603174746</v>
      </c>
      <c r="E111" s="357"/>
    </row>
    <row r="115" spans="5:5">
      <c r="E115" s="21"/>
    </row>
  </sheetData>
  <mergeCells count="71">
    <mergeCell ref="B74:B75"/>
    <mergeCell ref="B89:B90"/>
    <mergeCell ref="N3:N4"/>
    <mergeCell ref="N17:N18"/>
    <mergeCell ref="N32:N33"/>
    <mergeCell ref="N46:N47"/>
    <mergeCell ref="N60:N61"/>
    <mergeCell ref="N74:N75"/>
    <mergeCell ref="N89:N90"/>
    <mergeCell ref="B3:B4"/>
    <mergeCell ref="B17:B18"/>
    <mergeCell ref="B32:B33"/>
    <mergeCell ref="B46:B47"/>
    <mergeCell ref="B60:B61"/>
    <mergeCell ref="D109:E109"/>
    <mergeCell ref="F109:G109"/>
    <mergeCell ref="D110:E110"/>
    <mergeCell ref="F110:G110"/>
    <mergeCell ref="D111:E111"/>
    <mergeCell ref="D106:E106"/>
    <mergeCell ref="F106:G106"/>
    <mergeCell ref="D107:E107"/>
    <mergeCell ref="F107:G107"/>
    <mergeCell ref="D108:E108"/>
    <mergeCell ref="F108:G108"/>
    <mergeCell ref="U89:W89"/>
    <mergeCell ref="D104:E104"/>
    <mergeCell ref="F104:G104"/>
    <mergeCell ref="D105:E105"/>
    <mergeCell ref="F105:G105"/>
    <mergeCell ref="C89:E89"/>
    <mergeCell ref="F89:H89"/>
    <mergeCell ref="I89:K89"/>
    <mergeCell ref="O89:Q89"/>
    <mergeCell ref="R89:T89"/>
    <mergeCell ref="U60:W60"/>
    <mergeCell ref="C74:E74"/>
    <mergeCell ref="F74:H74"/>
    <mergeCell ref="I74:K74"/>
    <mergeCell ref="O74:Q74"/>
    <mergeCell ref="R74:T74"/>
    <mergeCell ref="U74:W74"/>
    <mergeCell ref="C60:E60"/>
    <mergeCell ref="F60:H60"/>
    <mergeCell ref="I60:K60"/>
    <mergeCell ref="O60:Q60"/>
    <mergeCell ref="R60:T60"/>
    <mergeCell ref="U32:W32"/>
    <mergeCell ref="C46:E46"/>
    <mergeCell ref="F46:H46"/>
    <mergeCell ref="I46:K46"/>
    <mergeCell ref="O46:Q46"/>
    <mergeCell ref="R46:T46"/>
    <mergeCell ref="U46:W46"/>
    <mergeCell ref="C32:E32"/>
    <mergeCell ref="F32:H32"/>
    <mergeCell ref="I32:K32"/>
    <mergeCell ref="O32:Q32"/>
    <mergeCell ref="R32:T32"/>
    <mergeCell ref="U3:W3"/>
    <mergeCell ref="C17:E17"/>
    <mergeCell ref="F17:H17"/>
    <mergeCell ref="I17:K17"/>
    <mergeCell ref="O17:Q17"/>
    <mergeCell ref="R17:T17"/>
    <mergeCell ref="U17:W17"/>
    <mergeCell ref="C3:E3"/>
    <mergeCell ref="F3:H3"/>
    <mergeCell ref="I3:K3"/>
    <mergeCell ref="O3:Q3"/>
    <mergeCell ref="R3:T3"/>
  </mergeCells>
  <pageMargins left="0.7" right="0.7" top="0.75" bottom="0.75" header="0.3" footer="0.3"/>
  <pageSetup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F104"/>
  <sheetViews>
    <sheetView showGridLines="0" topLeftCell="R22" zoomScale="85" zoomScaleNormal="85" workbookViewId="0">
      <selection activeCell="A48" sqref="A48:XFD59"/>
    </sheetView>
  </sheetViews>
  <sheetFormatPr defaultColWidth="9" defaultRowHeight="15"/>
  <cols>
    <col min="2" max="2" width="22.85546875" customWidth="1"/>
    <col min="3" max="3" width="14.5703125" customWidth="1"/>
    <col min="4" max="4" width="8.85546875" customWidth="1"/>
    <col min="5" max="5" width="15.7109375" customWidth="1"/>
    <col min="6" max="6" width="14.5703125" customWidth="1"/>
    <col min="7" max="7" width="8" customWidth="1"/>
    <col min="8" max="8" width="15.7109375" customWidth="1"/>
    <col min="9" max="9" width="14.5703125" customWidth="1"/>
    <col min="10" max="10" width="8.28515625" customWidth="1"/>
    <col min="11" max="12" width="15.7109375" customWidth="1"/>
    <col min="13" max="13" width="8.85546875" customWidth="1"/>
    <col min="14" max="14" width="15.7109375" customWidth="1"/>
    <col min="17" max="17" width="22.85546875" customWidth="1"/>
    <col min="18" max="18" width="14.5703125" customWidth="1"/>
    <col min="19" max="19" width="8.85546875" customWidth="1"/>
    <col min="20" max="20" width="15.7109375" customWidth="1"/>
    <col min="21" max="21" width="14.5703125" customWidth="1"/>
    <col min="22" max="22" width="8" customWidth="1"/>
    <col min="23" max="23" width="16.5703125" customWidth="1"/>
    <col min="24" max="24" width="14.5703125" customWidth="1"/>
    <col min="25" max="25" width="8.28515625" customWidth="1"/>
    <col min="26" max="27" width="15.7109375" customWidth="1"/>
    <col min="28" max="28" width="8.85546875" customWidth="1"/>
    <col min="29" max="29" width="15.7109375" customWidth="1"/>
    <col min="30" max="30" width="14.85546875"/>
    <col min="32" max="32" width="15.5703125" customWidth="1"/>
  </cols>
  <sheetData>
    <row r="2" spans="2:29" ht="17.25">
      <c r="B2" s="97" t="s">
        <v>30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</row>
    <row r="3" spans="2:29" ht="17.25">
      <c r="B3" s="98" t="s">
        <v>227</v>
      </c>
      <c r="C3" s="97" t="s">
        <v>248</v>
      </c>
      <c r="D3" s="97"/>
      <c r="E3" s="97"/>
      <c r="F3" s="97" t="s">
        <v>288</v>
      </c>
      <c r="G3" s="97"/>
      <c r="H3" s="97"/>
      <c r="I3" s="97" t="s">
        <v>248</v>
      </c>
      <c r="J3" s="97"/>
      <c r="K3" s="97"/>
      <c r="L3" s="97"/>
      <c r="M3" s="97"/>
      <c r="N3" s="97"/>
      <c r="O3" s="97"/>
      <c r="P3" s="97"/>
      <c r="Q3" s="98" t="s">
        <v>230</v>
      </c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</row>
    <row r="4" spans="2:29" ht="17.25">
      <c r="B4" s="370" t="s">
        <v>3</v>
      </c>
      <c r="C4" s="367" t="s">
        <v>10</v>
      </c>
      <c r="D4" s="368"/>
      <c r="E4" s="369"/>
      <c r="F4" s="367" t="s">
        <v>251</v>
      </c>
      <c r="G4" s="368"/>
      <c r="H4" s="369"/>
      <c r="I4" s="367" t="s">
        <v>17</v>
      </c>
      <c r="J4" s="368"/>
      <c r="K4" s="369"/>
      <c r="L4" s="367" t="s">
        <v>252</v>
      </c>
      <c r="M4" s="368"/>
      <c r="N4" s="369"/>
      <c r="O4" s="97"/>
      <c r="P4" s="97"/>
      <c r="Q4" s="370" t="s">
        <v>4</v>
      </c>
      <c r="R4" s="367" t="s">
        <v>10</v>
      </c>
      <c r="S4" s="368"/>
      <c r="T4" s="369"/>
      <c r="U4" s="367" t="s">
        <v>15</v>
      </c>
      <c r="V4" s="368"/>
      <c r="W4" s="369"/>
      <c r="X4" s="367" t="s">
        <v>17</v>
      </c>
      <c r="Y4" s="368"/>
      <c r="Z4" s="369"/>
      <c r="AA4" s="97"/>
      <c r="AB4" s="97"/>
      <c r="AC4" s="97"/>
    </row>
    <row r="5" spans="2:29" ht="17.25">
      <c r="B5" s="371"/>
      <c r="C5" s="99" t="s">
        <v>180</v>
      </c>
      <c r="D5" s="100" t="s">
        <v>41</v>
      </c>
      <c r="E5" s="100" t="s">
        <v>44</v>
      </c>
      <c r="F5" s="99" t="s">
        <v>180</v>
      </c>
      <c r="G5" s="100" t="s">
        <v>41</v>
      </c>
      <c r="H5" s="100" t="s">
        <v>44</v>
      </c>
      <c r="I5" s="99" t="s">
        <v>180</v>
      </c>
      <c r="J5" s="100" t="s">
        <v>41</v>
      </c>
      <c r="K5" s="100" t="s">
        <v>44</v>
      </c>
      <c r="L5" s="99" t="s">
        <v>180</v>
      </c>
      <c r="M5" s="100" t="s">
        <v>41</v>
      </c>
      <c r="N5" s="100" t="s">
        <v>44</v>
      </c>
      <c r="O5" s="97"/>
      <c r="P5" s="97"/>
      <c r="Q5" s="371"/>
      <c r="R5" s="99" t="s">
        <v>180</v>
      </c>
      <c r="S5" s="100" t="s">
        <v>41</v>
      </c>
      <c r="T5" s="100" t="s">
        <v>44</v>
      </c>
      <c r="U5" s="99" t="s">
        <v>180</v>
      </c>
      <c r="V5" s="100" t="s">
        <v>41</v>
      </c>
      <c r="W5" s="100" t="s">
        <v>44</v>
      </c>
      <c r="X5" s="99" t="s">
        <v>180</v>
      </c>
      <c r="Y5" s="100" t="s">
        <v>41</v>
      </c>
      <c r="Z5" s="100" t="s">
        <v>44</v>
      </c>
      <c r="AA5" s="97"/>
      <c r="AB5" s="97"/>
      <c r="AC5" s="97"/>
    </row>
    <row r="6" spans="2:29" ht="17.25">
      <c r="B6" s="26" t="s">
        <v>233</v>
      </c>
      <c r="C6" s="27">
        <v>30000000</v>
      </c>
      <c r="D6" s="26">
        <v>11</v>
      </c>
      <c r="E6" s="27">
        <f t="shared" ref="E6:E15" si="0">+C6*D6</f>
        <v>330000000</v>
      </c>
      <c r="F6" s="27">
        <v>30000000</v>
      </c>
      <c r="G6" s="26">
        <v>7</v>
      </c>
      <c r="H6" s="27">
        <f t="shared" ref="H6:H15" si="1">+F6*G6</f>
        <v>210000000</v>
      </c>
      <c r="I6" s="27">
        <v>30000000</v>
      </c>
      <c r="J6" s="26">
        <v>7</v>
      </c>
      <c r="K6" s="27">
        <f t="shared" ref="K6:K15" si="2">+I6*J6</f>
        <v>210000000</v>
      </c>
      <c r="L6" s="27">
        <v>30000000</v>
      </c>
      <c r="M6" s="26">
        <v>1</v>
      </c>
      <c r="N6" s="27">
        <f t="shared" ref="N6:N15" si="3">+L6*M6</f>
        <v>30000000</v>
      </c>
      <c r="O6" s="97"/>
      <c r="P6" s="97"/>
      <c r="Q6" s="26" t="s">
        <v>233</v>
      </c>
      <c r="R6" s="27"/>
      <c r="S6" s="26"/>
      <c r="T6" s="27">
        <f t="shared" ref="T6:T14" si="4">+R6*S6</f>
        <v>0</v>
      </c>
      <c r="U6" s="27"/>
      <c r="V6" s="26"/>
      <c r="W6" s="27">
        <f t="shared" ref="W6:W14" si="5">+U6*V6</f>
        <v>0</v>
      </c>
      <c r="X6" s="27"/>
      <c r="Y6" s="26"/>
      <c r="Z6" s="27">
        <f t="shared" ref="Z6:Z14" si="6">+X6*Y6</f>
        <v>0</v>
      </c>
      <c r="AA6" s="97"/>
      <c r="AB6" s="97"/>
      <c r="AC6" s="97"/>
    </row>
    <row r="7" spans="2:29" ht="17.25">
      <c r="B7" s="26" t="s">
        <v>234</v>
      </c>
      <c r="C7" s="27">
        <v>0</v>
      </c>
      <c r="D7" s="26">
        <v>11</v>
      </c>
      <c r="E7" s="27">
        <f t="shared" si="0"/>
        <v>0</v>
      </c>
      <c r="F7" s="27">
        <v>0</v>
      </c>
      <c r="G7" s="26">
        <v>7</v>
      </c>
      <c r="H7" s="27">
        <f t="shared" si="1"/>
        <v>0</v>
      </c>
      <c r="I7" s="27">
        <v>0</v>
      </c>
      <c r="J7" s="26">
        <v>7</v>
      </c>
      <c r="K7" s="27">
        <f t="shared" si="2"/>
        <v>0</v>
      </c>
      <c r="L7" s="27">
        <v>0</v>
      </c>
      <c r="M7" s="26">
        <v>1</v>
      </c>
      <c r="N7" s="27">
        <f t="shared" si="3"/>
        <v>0</v>
      </c>
      <c r="O7" s="97"/>
      <c r="P7" s="97"/>
      <c r="Q7" s="26" t="s">
        <v>234</v>
      </c>
      <c r="R7" s="27"/>
      <c r="S7" s="26"/>
      <c r="T7" s="27">
        <f t="shared" si="4"/>
        <v>0</v>
      </c>
      <c r="U7" s="27"/>
      <c r="V7" s="26"/>
      <c r="W7" s="27">
        <f t="shared" si="5"/>
        <v>0</v>
      </c>
      <c r="X7" s="27"/>
      <c r="Y7" s="26"/>
      <c r="Z7" s="27">
        <f t="shared" si="6"/>
        <v>0</v>
      </c>
      <c r="AA7" s="97"/>
      <c r="AB7" s="97"/>
      <c r="AC7" s="97"/>
    </row>
    <row r="8" spans="2:29" ht="17.25">
      <c r="B8" s="26" t="s">
        <v>235</v>
      </c>
      <c r="C8" s="27">
        <v>6000</v>
      </c>
      <c r="D8" s="26">
        <v>0</v>
      </c>
      <c r="E8" s="27">
        <f t="shared" si="0"/>
        <v>0</v>
      </c>
      <c r="F8" s="27">
        <v>6000</v>
      </c>
      <c r="G8" s="27">
        <v>0</v>
      </c>
      <c r="H8" s="27">
        <f t="shared" si="1"/>
        <v>0</v>
      </c>
      <c r="I8" s="27">
        <v>6000</v>
      </c>
      <c r="J8" s="27">
        <v>0</v>
      </c>
      <c r="K8" s="27">
        <f t="shared" si="2"/>
        <v>0</v>
      </c>
      <c r="L8" s="27">
        <v>6000</v>
      </c>
      <c r="M8" s="27">
        <v>0</v>
      </c>
      <c r="N8" s="27">
        <f t="shared" si="3"/>
        <v>0</v>
      </c>
      <c r="O8" s="97"/>
      <c r="P8" s="97"/>
      <c r="Q8" s="26" t="s">
        <v>235</v>
      </c>
      <c r="R8" s="27"/>
      <c r="S8" s="26"/>
      <c r="T8" s="27">
        <f t="shared" si="4"/>
        <v>0</v>
      </c>
      <c r="U8" s="27"/>
      <c r="V8" s="26"/>
      <c r="W8" s="27">
        <f t="shared" si="5"/>
        <v>0</v>
      </c>
      <c r="X8" s="27"/>
      <c r="Y8" s="26"/>
      <c r="Z8" s="27">
        <f t="shared" si="6"/>
        <v>0</v>
      </c>
      <c r="AA8" s="97"/>
      <c r="AB8" s="97"/>
      <c r="AC8" s="97"/>
    </row>
    <row r="9" spans="2:29" ht="17.25">
      <c r="B9" s="26" t="s">
        <v>236</v>
      </c>
      <c r="C9" s="27">
        <v>50000</v>
      </c>
      <c r="D9" s="26">
        <v>177</v>
      </c>
      <c r="E9" s="27">
        <f t="shared" si="0"/>
        <v>8850000</v>
      </c>
      <c r="F9" s="27">
        <v>50000</v>
      </c>
      <c r="G9" s="26">
        <v>218</v>
      </c>
      <c r="H9" s="27">
        <f t="shared" si="1"/>
        <v>10900000</v>
      </c>
      <c r="I9" s="27">
        <v>50000</v>
      </c>
      <c r="J9" s="26">
        <v>137</v>
      </c>
      <c r="K9" s="27">
        <f t="shared" si="2"/>
        <v>6850000</v>
      </c>
      <c r="L9" s="27">
        <v>50000</v>
      </c>
      <c r="M9" s="26">
        <v>62</v>
      </c>
      <c r="N9" s="27">
        <f t="shared" si="3"/>
        <v>3100000</v>
      </c>
      <c r="O9" s="97"/>
      <c r="P9" s="97"/>
      <c r="Q9" s="26" t="s">
        <v>236</v>
      </c>
      <c r="R9" s="27"/>
      <c r="S9" s="26"/>
      <c r="T9" s="27">
        <f t="shared" si="4"/>
        <v>0</v>
      </c>
      <c r="U9" s="27"/>
      <c r="V9" s="26"/>
      <c r="W9" s="27">
        <f t="shared" si="5"/>
        <v>0</v>
      </c>
      <c r="X9" s="27"/>
      <c r="Y9" s="26"/>
      <c r="Z9" s="27">
        <f t="shared" si="6"/>
        <v>0</v>
      </c>
      <c r="AA9" s="97"/>
      <c r="AB9" s="97"/>
      <c r="AC9" s="97"/>
    </row>
    <row r="10" spans="2:29" ht="17.25">
      <c r="B10" s="26" t="s">
        <v>237</v>
      </c>
      <c r="C10" s="27">
        <v>1000000</v>
      </c>
      <c r="D10" s="101">
        <v>3</v>
      </c>
      <c r="E10" s="27">
        <f t="shared" si="0"/>
        <v>3000000</v>
      </c>
      <c r="F10" s="27">
        <v>1000000</v>
      </c>
      <c r="G10" s="26">
        <v>1</v>
      </c>
      <c r="H10" s="27">
        <f t="shared" si="1"/>
        <v>1000000</v>
      </c>
      <c r="I10" s="27">
        <v>1000000</v>
      </c>
      <c r="J10" s="26">
        <v>2</v>
      </c>
      <c r="K10" s="27">
        <f t="shared" si="2"/>
        <v>2000000</v>
      </c>
      <c r="L10" s="27">
        <v>1000000</v>
      </c>
      <c r="M10" s="26">
        <v>3</v>
      </c>
      <c r="N10" s="27">
        <f t="shared" si="3"/>
        <v>3000000</v>
      </c>
      <c r="O10" s="97"/>
      <c r="P10" s="97"/>
      <c r="Q10" s="26" t="s">
        <v>237</v>
      </c>
      <c r="R10" s="27"/>
      <c r="S10" s="26"/>
      <c r="T10" s="27">
        <f t="shared" si="4"/>
        <v>0</v>
      </c>
      <c r="U10" s="27"/>
      <c r="V10" s="26"/>
      <c r="W10" s="27">
        <f t="shared" si="5"/>
        <v>0</v>
      </c>
      <c r="X10" s="27"/>
      <c r="Y10" s="26"/>
      <c r="Z10" s="27">
        <f t="shared" si="6"/>
        <v>0</v>
      </c>
      <c r="AA10" s="97"/>
      <c r="AB10" s="97"/>
      <c r="AC10" s="97"/>
    </row>
    <row r="11" spans="2:29" ht="17.25">
      <c r="B11" s="26" t="s">
        <v>238</v>
      </c>
      <c r="C11" s="27">
        <v>600000</v>
      </c>
      <c r="D11" s="26">
        <v>0</v>
      </c>
      <c r="E11" s="27">
        <f t="shared" si="0"/>
        <v>0</v>
      </c>
      <c r="F11" s="27">
        <v>600000</v>
      </c>
      <c r="G11" s="26">
        <v>0</v>
      </c>
      <c r="H11" s="27">
        <f t="shared" si="1"/>
        <v>0</v>
      </c>
      <c r="I11" s="27">
        <v>600000</v>
      </c>
      <c r="J11" s="26">
        <v>0</v>
      </c>
      <c r="K11" s="27">
        <f t="shared" si="2"/>
        <v>0</v>
      </c>
      <c r="L11" s="27">
        <v>600000</v>
      </c>
      <c r="M11" s="26">
        <v>0</v>
      </c>
      <c r="N11" s="27">
        <f t="shared" si="3"/>
        <v>0</v>
      </c>
      <c r="O11" s="97"/>
      <c r="P11" s="97"/>
      <c r="Q11" s="26" t="s">
        <v>238</v>
      </c>
      <c r="R11" s="27"/>
      <c r="S11" s="26"/>
      <c r="T11" s="27">
        <f t="shared" si="4"/>
        <v>0</v>
      </c>
      <c r="U11" s="27"/>
      <c r="V11" s="26"/>
      <c r="W11" s="27">
        <f t="shared" si="5"/>
        <v>0</v>
      </c>
      <c r="X11" s="27"/>
      <c r="Y11" s="26"/>
      <c r="Z11" s="27">
        <f t="shared" si="6"/>
        <v>0</v>
      </c>
      <c r="AA11" s="97"/>
      <c r="AB11" s="97"/>
      <c r="AC11" s="97"/>
    </row>
    <row r="12" spans="2:29" ht="17.25">
      <c r="B12" s="26" t="s">
        <v>239</v>
      </c>
      <c r="C12" s="27">
        <v>420000</v>
      </c>
      <c r="D12" s="26">
        <v>0</v>
      </c>
      <c r="E12" s="27">
        <f t="shared" si="0"/>
        <v>0</v>
      </c>
      <c r="F12" s="27">
        <v>420000</v>
      </c>
      <c r="G12" s="26">
        <v>0</v>
      </c>
      <c r="H12" s="27">
        <f t="shared" si="1"/>
        <v>0</v>
      </c>
      <c r="I12" s="27">
        <v>420000</v>
      </c>
      <c r="J12" s="26">
        <v>0</v>
      </c>
      <c r="K12" s="27">
        <f t="shared" si="2"/>
        <v>0</v>
      </c>
      <c r="L12" s="27">
        <v>420000</v>
      </c>
      <c r="M12" s="26">
        <v>0</v>
      </c>
      <c r="N12" s="27">
        <f t="shared" si="3"/>
        <v>0</v>
      </c>
      <c r="O12" s="97"/>
      <c r="P12" s="97"/>
      <c r="Q12" s="26" t="s">
        <v>239</v>
      </c>
      <c r="R12" s="27"/>
      <c r="S12" s="26"/>
      <c r="T12" s="27">
        <f t="shared" si="4"/>
        <v>0</v>
      </c>
      <c r="U12" s="27"/>
      <c r="V12" s="26"/>
      <c r="W12" s="27">
        <f t="shared" si="5"/>
        <v>0</v>
      </c>
      <c r="X12" s="27"/>
      <c r="Y12" s="26"/>
      <c r="Z12" s="27">
        <f t="shared" si="6"/>
        <v>0</v>
      </c>
      <c r="AA12" s="97"/>
      <c r="AB12" s="97"/>
      <c r="AC12" s="97"/>
    </row>
    <row r="13" spans="2:29" ht="17.25">
      <c r="B13" s="26" t="s">
        <v>240</v>
      </c>
      <c r="C13" s="27">
        <v>315000</v>
      </c>
      <c r="D13" s="26">
        <v>0</v>
      </c>
      <c r="E13" s="27">
        <f t="shared" si="0"/>
        <v>0</v>
      </c>
      <c r="F13" s="27">
        <v>315000</v>
      </c>
      <c r="G13" s="26">
        <v>0</v>
      </c>
      <c r="H13" s="27">
        <f t="shared" si="1"/>
        <v>0</v>
      </c>
      <c r="I13" s="27">
        <v>315000</v>
      </c>
      <c r="J13" s="26">
        <v>0</v>
      </c>
      <c r="K13" s="27">
        <f t="shared" si="2"/>
        <v>0</v>
      </c>
      <c r="L13" s="27">
        <v>315000</v>
      </c>
      <c r="M13" s="26">
        <v>0</v>
      </c>
      <c r="N13" s="27">
        <f t="shared" si="3"/>
        <v>0</v>
      </c>
      <c r="O13" s="97"/>
      <c r="P13" s="97"/>
      <c r="Q13" s="26" t="s">
        <v>240</v>
      </c>
      <c r="R13" s="27"/>
      <c r="S13" s="26"/>
      <c r="T13" s="27">
        <f t="shared" si="4"/>
        <v>0</v>
      </c>
      <c r="U13" s="27"/>
      <c r="V13" s="26"/>
      <c r="W13" s="27">
        <f t="shared" si="5"/>
        <v>0</v>
      </c>
      <c r="X13" s="27"/>
      <c r="Y13" s="26"/>
      <c r="Z13" s="27">
        <f t="shared" si="6"/>
        <v>0</v>
      </c>
      <c r="AA13" s="97"/>
      <c r="AB13" s="97"/>
      <c r="AC13" s="97"/>
    </row>
    <row r="14" spans="2:29" ht="17.25">
      <c r="B14" s="26" t="s">
        <v>183</v>
      </c>
      <c r="C14" s="27">
        <v>5500</v>
      </c>
      <c r="D14" s="26">
        <v>3</v>
      </c>
      <c r="E14" s="27">
        <f t="shared" si="0"/>
        <v>16500</v>
      </c>
      <c r="F14" s="27">
        <v>5500</v>
      </c>
      <c r="G14" s="27">
        <v>308</v>
      </c>
      <c r="H14" s="27">
        <f t="shared" si="1"/>
        <v>1694000</v>
      </c>
      <c r="I14" s="27">
        <v>5500</v>
      </c>
      <c r="J14" s="27">
        <v>401</v>
      </c>
      <c r="K14" s="27">
        <f t="shared" si="2"/>
        <v>2205500</v>
      </c>
      <c r="L14" s="27">
        <v>5500</v>
      </c>
      <c r="M14" s="27">
        <v>1614</v>
      </c>
      <c r="N14" s="27">
        <f t="shared" si="3"/>
        <v>8877000</v>
      </c>
      <c r="O14" s="97"/>
      <c r="P14" s="97"/>
      <c r="Q14" s="26" t="s">
        <v>241</v>
      </c>
      <c r="R14" s="27"/>
      <c r="S14" s="26"/>
      <c r="T14" s="27">
        <f t="shared" si="4"/>
        <v>0</v>
      </c>
      <c r="U14" s="27"/>
      <c r="V14" s="26"/>
      <c r="W14" s="27">
        <f t="shared" si="5"/>
        <v>0</v>
      </c>
      <c r="X14" s="27"/>
      <c r="Y14" s="26"/>
      <c r="Z14" s="27">
        <f t="shared" si="6"/>
        <v>0</v>
      </c>
      <c r="AA14" s="97"/>
      <c r="AB14" s="97"/>
      <c r="AC14" s="97"/>
    </row>
    <row r="15" spans="2:29" s="1" customFormat="1" ht="17.25">
      <c r="B15" s="26" t="s">
        <v>241</v>
      </c>
      <c r="C15" s="27"/>
      <c r="D15" s="26">
        <v>0</v>
      </c>
      <c r="E15" s="27">
        <f t="shared" si="0"/>
        <v>0</v>
      </c>
      <c r="F15" s="27"/>
      <c r="G15" s="26">
        <v>0</v>
      </c>
      <c r="H15" s="27">
        <f t="shared" si="1"/>
        <v>0</v>
      </c>
      <c r="I15" s="27"/>
      <c r="J15" s="26">
        <v>0</v>
      </c>
      <c r="K15" s="27">
        <f t="shared" si="2"/>
        <v>0</v>
      </c>
      <c r="L15" s="27"/>
      <c r="M15" s="26">
        <v>0</v>
      </c>
      <c r="N15" s="27">
        <f t="shared" si="3"/>
        <v>0</v>
      </c>
      <c r="O15" s="98"/>
      <c r="P15" s="98"/>
      <c r="Q15" s="102"/>
      <c r="R15" s="102"/>
      <c r="S15" s="100" t="s">
        <v>48</v>
      </c>
      <c r="T15" s="103">
        <f>SUM(T6:T14)</f>
        <v>0</v>
      </c>
      <c r="U15" s="102"/>
      <c r="V15" s="100" t="s">
        <v>48</v>
      </c>
      <c r="W15" s="112">
        <f>SUM(W6:W14)</f>
        <v>0</v>
      </c>
      <c r="X15" s="102"/>
      <c r="Y15" s="100" t="s">
        <v>48</v>
      </c>
      <c r="Z15" s="103">
        <f>SUM(Z6:Z14)</f>
        <v>0</v>
      </c>
      <c r="AA15" s="98"/>
      <c r="AB15" s="98"/>
      <c r="AC15" s="98"/>
    </row>
    <row r="16" spans="2:29" ht="17.25">
      <c r="B16" s="102"/>
      <c r="C16" s="102"/>
      <c r="D16" s="100" t="s">
        <v>48</v>
      </c>
      <c r="E16" s="103">
        <f>SUM(E6:E15)</f>
        <v>341866500</v>
      </c>
      <c r="F16" s="102"/>
      <c r="G16" s="100" t="s">
        <v>48</v>
      </c>
      <c r="H16" s="103">
        <f>SUM(H6:H15)</f>
        <v>223594000</v>
      </c>
      <c r="I16" s="102"/>
      <c r="J16" s="100" t="s">
        <v>48</v>
      </c>
      <c r="K16" s="103">
        <f>SUM(K6:K15)</f>
        <v>221055500</v>
      </c>
      <c r="L16" s="102"/>
      <c r="M16" s="100" t="s">
        <v>48</v>
      </c>
      <c r="N16" s="103">
        <f>SUM(N6:N15)</f>
        <v>44977000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110">
        <f>(T15+W15+Z15)/3</f>
        <v>0</v>
      </c>
      <c r="AA16" s="97"/>
      <c r="AB16" s="97"/>
      <c r="AC16" s="97"/>
    </row>
    <row r="17" spans="2:29" ht="17.25">
      <c r="B17" s="104"/>
      <c r="C17" s="104"/>
      <c r="D17" s="105"/>
      <c r="E17" s="106"/>
      <c r="F17" s="104"/>
      <c r="G17" s="105"/>
      <c r="H17" s="106"/>
      <c r="I17" s="104"/>
      <c r="J17" s="105"/>
      <c r="K17" s="106"/>
      <c r="L17" s="104"/>
      <c r="M17" s="105"/>
      <c r="N17" s="106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110"/>
      <c r="AA17" s="97"/>
      <c r="AB17" s="97"/>
      <c r="AC17" s="97"/>
    </row>
    <row r="18" spans="2:29" ht="17.25">
      <c r="B18" s="107" t="s">
        <v>289</v>
      </c>
      <c r="C18" s="97" t="s">
        <v>290</v>
      </c>
      <c r="D18" s="97"/>
      <c r="E18" s="97"/>
      <c r="F18" s="97" t="s">
        <v>281</v>
      </c>
      <c r="G18" s="97"/>
      <c r="H18" s="97"/>
      <c r="I18" s="97" t="s">
        <v>291</v>
      </c>
      <c r="J18" s="97"/>
      <c r="K18" s="110"/>
      <c r="L18" s="110"/>
      <c r="M18" s="110"/>
      <c r="N18" s="110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110"/>
      <c r="AA18" s="97"/>
      <c r="AB18" s="97"/>
      <c r="AC18" s="97"/>
    </row>
    <row r="19" spans="2:29" ht="17.25">
      <c r="B19" s="370" t="s">
        <v>4</v>
      </c>
      <c r="C19" s="367" t="s">
        <v>10</v>
      </c>
      <c r="D19" s="368"/>
      <c r="E19" s="369"/>
      <c r="F19" s="367" t="s">
        <v>15</v>
      </c>
      <c r="G19" s="368"/>
      <c r="H19" s="369"/>
      <c r="I19" s="367" t="s">
        <v>17</v>
      </c>
      <c r="J19" s="368"/>
      <c r="K19" s="369"/>
      <c r="L19" s="367" t="s">
        <v>292</v>
      </c>
      <c r="M19" s="368"/>
      <c r="N19" s="369"/>
      <c r="O19" s="97"/>
      <c r="P19" s="97"/>
      <c r="Q19" s="370" t="s">
        <v>4</v>
      </c>
      <c r="R19" s="367" t="s">
        <v>10</v>
      </c>
      <c r="S19" s="368"/>
      <c r="T19" s="369"/>
      <c r="U19" s="367" t="s">
        <v>15</v>
      </c>
      <c r="V19" s="368"/>
      <c r="W19" s="369"/>
      <c r="X19" s="367" t="s">
        <v>17</v>
      </c>
      <c r="Y19" s="368"/>
      <c r="Z19" s="369"/>
      <c r="AA19" s="367" t="s">
        <v>292</v>
      </c>
      <c r="AB19" s="368"/>
      <c r="AC19" s="369"/>
    </row>
    <row r="20" spans="2:29" ht="17.25">
      <c r="B20" s="371"/>
      <c r="C20" s="99" t="s">
        <v>180</v>
      </c>
      <c r="D20" s="100" t="s">
        <v>41</v>
      </c>
      <c r="E20" s="100" t="s">
        <v>44</v>
      </c>
      <c r="F20" s="99" t="s">
        <v>180</v>
      </c>
      <c r="G20" s="100" t="s">
        <v>41</v>
      </c>
      <c r="H20" s="100" t="s">
        <v>44</v>
      </c>
      <c r="I20" s="99" t="s">
        <v>180</v>
      </c>
      <c r="J20" s="100" t="s">
        <v>41</v>
      </c>
      <c r="K20" s="100" t="s">
        <v>44</v>
      </c>
      <c r="L20" s="99" t="s">
        <v>180</v>
      </c>
      <c r="M20" s="100" t="s">
        <v>41</v>
      </c>
      <c r="N20" s="100" t="s">
        <v>44</v>
      </c>
      <c r="O20" s="97"/>
      <c r="P20" s="97"/>
      <c r="Q20" s="371"/>
      <c r="R20" s="99" t="s">
        <v>180</v>
      </c>
      <c r="S20" s="100" t="s">
        <v>41</v>
      </c>
      <c r="T20" s="100" t="s">
        <v>44</v>
      </c>
      <c r="U20" s="99" t="s">
        <v>180</v>
      </c>
      <c r="V20" s="100" t="s">
        <v>41</v>
      </c>
      <c r="W20" s="100" t="s">
        <v>44</v>
      </c>
      <c r="X20" s="99" t="s">
        <v>180</v>
      </c>
      <c r="Y20" s="100" t="s">
        <v>41</v>
      </c>
      <c r="Z20" s="100" t="s">
        <v>44</v>
      </c>
      <c r="AA20" s="99" t="s">
        <v>180</v>
      </c>
      <c r="AB20" s="100" t="s">
        <v>41</v>
      </c>
      <c r="AC20" s="100" t="s">
        <v>44</v>
      </c>
    </row>
    <row r="21" spans="2:29" ht="17.25">
      <c r="B21" s="26" t="s">
        <v>233</v>
      </c>
      <c r="C21" s="27">
        <v>29392000</v>
      </c>
      <c r="D21" s="26">
        <v>11</v>
      </c>
      <c r="E21" s="27">
        <f t="shared" ref="E21:E29" si="7">+C21*D21</f>
        <v>323312000</v>
      </c>
      <c r="F21" s="27">
        <v>29773000</v>
      </c>
      <c r="G21" s="26">
        <v>7</v>
      </c>
      <c r="H21" s="27">
        <f t="shared" ref="H21:H29" si="8">+F21*G21</f>
        <v>208411000</v>
      </c>
      <c r="I21" s="27">
        <v>29773000</v>
      </c>
      <c r="J21" s="26">
        <v>7</v>
      </c>
      <c r="K21" s="27">
        <f t="shared" ref="K21:K29" si="9">+I21*J21</f>
        <v>208411000</v>
      </c>
      <c r="L21" s="27">
        <v>29773000</v>
      </c>
      <c r="M21" s="26">
        <v>1</v>
      </c>
      <c r="N21" s="27">
        <f t="shared" ref="N21:N29" si="10">+L21*M21</f>
        <v>29773000</v>
      </c>
      <c r="O21" s="97"/>
      <c r="P21" s="97"/>
      <c r="Q21" s="26" t="s">
        <v>233</v>
      </c>
      <c r="R21" s="27">
        <v>29392000</v>
      </c>
      <c r="S21" s="26">
        <v>11</v>
      </c>
      <c r="T21" s="27">
        <f t="shared" ref="T21:T29" si="11">+R21*S21</f>
        <v>323312000</v>
      </c>
      <c r="U21" s="27">
        <v>29773000</v>
      </c>
      <c r="V21" s="26">
        <v>7</v>
      </c>
      <c r="W21" s="27">
        <f t="shared" ref="W21:W29" si="12">+U21*V21</f>
        <v>208411000</v>
      </c>
      <c r="X21" s="27">
        <v>29773000</v>
      </c>
      <c r="Y21" s="26">
        <v>7</v>
      </c>
      <c r="Z21" s="27">
        <f t="shared" ref="Z21:Z29" si="13">+X21*Y21</f>
        <v>208411000</v>
      </c>
      <c r="AA21" s="27">
        <v>29773000</v>
      </c>
      <c r="AB21" s="26">
        <v>1</v>
      </c>
      <c r="AC21" s="27">
        <f t="shared" ref="AC21:AC29" si="14">+AA21*AB21</f>
        <v>29773000</v>
      </c>
    </row>
    <row r="22" spans="2:29" ht="17.25">
      <c r="B22" s="26" t="s">
        <v>234</v>
      </c>
      <c r="C22" s="27">
        <v>7073000</v>
      </c>
      <c r="D22" s="26">
        <v>11</v>
      </c>
      <c r="E22" s="27">
        <f t="shared" si="7"/>
        <v>77803000</v>
      </c>
      <c r="F22" s="27">
        <v>9505000</v>
      </c>
      <c r="G22" s="26">
        <v>7</v>
      </c>
      <c r="H22" s="27">
        <f t="shared" si="8"/>
        <v>66535000</v>
      </c>
      <c r="I22" s="27">
        <v>9505000</v>
      </c>
      <c r="J22" s="26">
        <v>7</v>
      </c>
      <c r="K22" s="27">
        <f t="shared" si="9"/>
        <v>66535000</v>
      </c>
      <c r="L22" s="27">
        <v>9505000</v>
      </c>
      <c r="M22" s="26">
        <v>1</v>
      </c>
      <c r="N22" s="27">
        <f t="shared" si="10"/>
        <v>9505000</v>
      </c>
      <c r="O22" s="97"/>
      <c r="P22" s="97"/>
      <c r="Q22" s="26" t="s">
        <v>234</v>
      </c>
      <c r="R22" s="27">
        <v>7073000</v>
      </c>
      <c r="S22" s="26">
        <v>11</v>
      </c>
      <c r="T22" s="27">
        <f t="shared" si="11"/>
        <v>77803000</v>
      </c>
      <c r="U22" s="27">
        <v>9505000</v>
      </c>
      <c r="V22" s="26">
        <v>7</v>
      </c>
      <c r="W22" s="27">
        <f t="shared" si="12"/>
        <v>66535000</v>
      </c>
      <c r="X22" s="27">
        <v>9505000</v>
      </c>
      <c r="Y22" s="26">
        <v>7</v>
      </c>
      <c r="Z22" s="27">
        <f t="shared" si="13"/>
        <v>66535000</v>
      </c>
      <c r="AA22" s="27">
        <v>9505000</v>
      </c>
      <c r="AB22" s="26">
        <v>1</v>
      </c>
      <c r="AC22" s="27">
        <f t="shared" si="14"/>
        <v>9505000</v>
      </c>
    </row>
    <row r="23" spans="2:29" ht="17.25">
      <c r="B23" s="26" t="s">
        <v>235</v>
      </c>
      <c r="C23" s="27">
        <v>6200</v>
      </c>
      <c r="D23" s="26">
        <v>0</v>
      </c>
      <c r="E23" s="27">
        <f t="shared" si="7"/>
        <v>0</v>
      </c>
      <c r="F23" s="27">
        <v>6200</v>
      </c>
      <c r="G23" s="26">
        <v>0</v>
      </c>
      <c r="H23" s="27">
        <f t="shared" si="8"/>
        <v>0</v>
      </c>
      <c r="I23" s="27">
        <v>6200</v>
      </c>
      <c r="J23" s="26">
        <v>0</v>
      </c>
      <c r="K23" s="27">
        <f t="shared" si="9"/>
        <v>0</v>
      </c>
      <c r="L23" s="27">
        <v>6200</v>
      </c>
      <c r="M23" s="26">
        <v>0</v>
      </c>
      <c r="N23" s="27">
        <f t="shared" si="10"/>
        <v>0</v>
      </c>
      <c r="O23" s="97"/>
      <c r="P23" s="97"/>
      <c r="Q23" s="26" t="s">
        <v>235</v>
      </c>
      <c r="R23" s="27">
        <v>3800</v>
      </c>
      <c r="S23" s="26">
        <v>0</v>
      </c>
      <c r="T23" s="27">
        <f t="shared" si="11"/>
        <v>0</v>
      </c>
      <c r="U23" s="27">
        <v>3800</v>
      </c>
      <c r="V23" s="26">
        <v>0</v>
      </c>
      <c r="W23" s="27">
        <f t="shared" si="12"/>
        <v>0</v>
      </c>
      <c r="X23" s="27">
        <v>3800</v>
      </c>
      <c r="Y23" s="26">
        <v>0</v>
      </c>
      <c r="Z23" s="27">
        <f t="shared" si="13"/>
        <v>0</v>
      </c>
      <c r="AA23" s="27">
        <v>6200</v>
      </c>
      <c r="AB23" s="26">
        <v>0</v>
      </c>
      <c r="AC23" s="27">
        <f t="shared" si="14"/>
        <v>0</v>
      </c>
    </row>
    <row r="24" spans="2:29" ht="17.25">
      <c r="B24" s="26" t="s">
        <v>236</v>
      </c>
      <c r="C24" s="27">
        <v>80300</v>
      </c>
      <c r="D24" s="26">
        <v>155</v>
      </c>
      <c r="E24" s="27">
        <f t="shared" si="7"/>
        <v>12446500</v>
      </c>
      <c r="F24" s="27">
        <v>80300</v>
      </c>
      <c r="G24" s="26">
        <v>174</v>
      </c>
      <c r="H24" s="27">
        <f t="shared" si="8"/>
        <v>13972200</v>
      </c>
      <c r="I24" s="27">
        <v>80300</v>
      </c>
      <c r="J24" s="26">
        <v>122.333333333333</v>
      </c>
      <c r="K24" s="27">
        <f t="shared" si="9"/>
        <v>9823366.66666664</v>
      </c>
      <c r="L24" s="27">
        <v>80300</v>
      </c>
      <c r="M24" s="26">
        <v>25</v>
      </c>
      <c r="N24" s="27">
        <f t="shared" si="10"/>
        <v>2007500</v>
      </c>
      <c r="O24" s="97"/>
      <c r="P24" s="97"/>
      <c r="Q24" s="26" t="s">
        <v>236</v>
      </c>
      <c r="R24" s="27">
        <v>80300</v>
      </c>
      <c r="S24" s="26">
        <v>155</v>
      </c>
      <c r="T24" s="27">
        <f t="shared" si="11"/>
        <v>12446500</v>
      </c>
      <c r="U24" s="27">
        <v>80300</v>
      </c>
      <c r="V24" s="26">
        <v>174</v>
      </c>
      <c r="W24" s="27">
        <f t="shared" si="12"/>
        <v>13972200</v>
      </c>
      <c r="X24" s="27">
        <v>80300</v>
      </c>
      <c r="Y24" s="26">
        <v>122.333333333333</v>
      </c>
      <c r="Z24" s="27">
        <f t="shared" si="13"/>
        <v>9823366.66666664</v>
      </c>
      <c r="AA24" s="27">
        <v>80300</v>
      </c>
      <c r="AB24" s="26">
        <v>25</v>
      </c>
      <c r="AC24" s="27">
        <f t="shared" si="14"/>
        <v>2007500</v>
      </c>
    </row>
    <row r="25" spans="2:29" ht="17.25">
      <c r="B25" s="26" t="s">
        <v>237</v>
      </c>
      <c r="C25" s="27">
        <v>1000000</v>
      </c>
      <c r="D25" s="26">
        <v>3</v>
      </c>
      <c r="E25" s="27">
        <f t="shared" si="7"/>
        <v>3000000</v>
      </c>
      <c r="F25" s="27">
        <v>1000000</v>
      </c>
      <c r="G25" s="26">
        <v>1</v>
      </c>
      <c r="H25" s="27">
        <f t="shared" si="8"/>
        <v>1000000</v>
      </c>
      <c r="I25" s="27">
        <v>1000000</v>
      </c>
      <c r="J25" s="26">
        <v>2</v>
      </c>
      <c r="K25" s="27">
        <f t="shared" si="9"/>
        <v>2000000</v>
      </c>
      <c r="L25" s="27">
        <v>1000000</v>
      </c>
      <c r="M25" s="26">
        <v>0.5</v>
      </c>
      <c r="N25" s="27">
        <f t="shared" si="10"/>
        <v>500000</v>
      </c>
      <c r="O25" s="97"/>
      <c r="P25" s="97"/>
      <c r="Q25" s="26" t="s">
        <v>237</v>
      </c>
      <c r="R25" s="27">
        <v>780000</v>
      </c>
      <c r="S25" s="26">
        <v>3</v>
      </c>
      <c r="T25" s="27">
        <f t="shared" si="11"/>
        <v>2340000</v>
      </c>
      <c r="U25" s="27">
        <v>780000</v>
      </c>
      <c r="V25" s="26">
        <v>1</v>
      </c>
      <c r="W25" s="27">
        <f t="shared" si="12"/>
        <v>780000</v>
      </c>
      <c r="X25" s="27">
        <v>780000</v>
      </c>
      <c r="Y25" s="26">
        <v>2</v>
      </c>
      <c r="Z25" s="27">
        <f t="shared" si="13"/>
        <v>1560000</v>
      </c>
      <c r="AA25" s="27">
        <v>1000000</v>
      </c>
      <c r="AB25" s="26">
        <v>0.5</v>
      </c>
      <c r="AC25" s="27">
        <f t="shared" si="14"/>
        <v>500000</v>
      </c>
    </row>
    <row r="26" spans="2:29" ht="17.25">
      <c r="B26" s="26" t="s">
        <v>238</v>
      </c>
      <c r="C26" s="27">
        <v>500000</v>
      </c>
      <c r="D26" s="26">
        <v>0</v>
      </c>
      <c r="E26" s="27">
        <f t="shared" si="7"/>
        <v>0</v>
      </c>
      <c r="F26" s="27">
        <v>500000</v>
      </c>
      <c r="G26" s="26">
        <v>0</v>
      </c>
      <c r="H26" s="27">
        <f t="shared" si="8"/>
        <v>0</v>
      </c>
      <c r="I26" s="27">
        <v>500000</v>
      </c>
      <c r="J26" s="26">
        <v>0</v>
      </c>
      <c r="K26" s="27">
        <f t="shared" si="9"/>
        <v>0</v>
      </c>
      <c r="L26" s="27">
        <v>500000</v>
      </c>
      <c r="M26" s="26">
        <v>0</v>
      </c>
      <c r="N26" s="27">
        <f t="shared" si="10"/>
        <v>0</v>
      </c>
      <c r="O26" s="97"/>
      <c r="P26" s="97"/>
      <c r="Q26" s="26" t="s">
        <v>238</v>
      </c>
      <c r="R26" s="27">
        <v>395000</v>
      </c>
      <c r="S26" s="26">
        <v>0</v>
      </c>
      <c r="T26" s="27">
        <f t="shared" si="11"/>
        <v>0</v>
      </c>
      <c r="U26" s="27">
        <v>395000</v>
      </c>
      <c r="V26" s="26">
        <v>0</v>
      </c>
      <c r="W26" s="27">
        <f t="shared" si="12"/>
        <v>0</v>
      </c>
      <c r="X26" s="27">
        <v>395000</v>
      </c>
      <c r="Y26" s="26">
        <v>0</v>
      </c>
      <c r="Z26" s="27">
        <f t="shared" si="13"/>
        <v>0</v>
      </c>
      <c r="AA26" s="27">
        <v>500000</v>
      </c>
      <c r="AB26" s="26">
        <v>0</v>
      </c>
      <c r="AC26" s="27">
        <f t="shared" si="14"/>
        <v>0</v>
      </c>
    </row>
    <row r="27" spans="2:29" ht="17.25">
      <c r="B27" s="26" t="s">
        <v>239</v>
      </c>
      <c r="C27" s="27">
        <v>420000</v>
      </c>
      <c r="D27" s="26">
        <v>0</v>
      </c>
      <c r="E27" s="27">
        <f t="shared" si="7"/>
        <v>0</v>
      </c>
      <c r="F27" s="27">
        <v>420000</v>
      </c>
      <c r="G27" s="26">
        <v>0</v>
      </c>
      <c r="H27" s="27">
        <f t="shared" si="8"/>
        <v>0</v>
      </c>
      <c r="I27" s="27">
        <v>420000</v>
      </c>
      <c r="J27" s="26">
        <v>0</v>
      </c>
      <c r="K27" s="27">
        <f t="shared" si="9"/>
        <v>0</v>
      </c>
      <c r="L27" s="27">
        <v>420000</v>
      </c>
      <c r="M27" s="26">
        <v>0</v>
      </c>
      <c r="N27" s="27">
        <f t="shared" si="10"/>
        <v>0</v>
      </c>
      <c r="O27" s="97"/>
      <c r="P27" s="97"/>
      <c r="Q27" s="26" t="s">
        <v>239</v>
      </c>
      <c r="R27" s="27">
        <v>420000</v>
      </c>
      <c r="S27" s="26">
        <v>0</v>
      </c>
      <c r="T27" s="27">
        <f t="shared" si="11"/>
        <v>0</v>
      </c>
      <c r="U27" s="27">
        <v>420000</v>
      </c>
      <c r="V27" s="26">
        <v>0</v>
      </c>
      <c r="W27" s="27">
        <f t="shared" si="12"/>
        <v>0</v>
      </c>
      <c r="X27" s="27">
        <v>420000</v>
      </c>
      <c r="Y27" s="26">
        <v>0</v>
      </c>
      <c r="Z27" s="27">
        <f t="shared" si="13"/>
        <v>0</v>
      </c>
      <c r="AA27" s="27">
        <v>420000</v>
      </c>
      <c r="AB27" s="26">
        <v>0</v>
      </c>
      <c r="AC27" s="27">
        <f t="shared" si="14"/>
        <v>0</v>
      </c>
    </row>
    <row r="28" spans="2:29" ht="17.25">
      <c r="B28" s="26" t="s">
        <v>240</v>
      </c>
      <c r="C28" s="27">
        <v>450000</v>
      </c>
      <c r="D28" s="26">
        <v>0</v>
      </c>
      <c r="E28" s="27">
        <f t="shared" si="7"/>
        <v>0</v>
      </c>
      <c r="F28" s="27">
        <v>450000</v>
      </c>
      <c r="G28" s="26">
        <v>0</v>
      </c>
      <c r="H28" s="27">
        <f t="shared" si="8"/>
        <v>0</v>
      </c>
      <c r="I28" s="27">
        <v>450000</v>
      </c>
      <c r="J28" s="26">
        <v>0</v>
      </c>
      <c r="K28" s="27">
        <f t="shared" si="9"/>
        <v>0</v>
      </c>
      <c r="L28" s="27">
        <v>450000</v>
      </c>
      <c r="M28" s="26">
        <v>0</v>
      </c>
      <c r="N28" s="27">
        <f t="shared" si="10"/>
        <v>0</v>
      </c>
      <c r="O28" s="97"/>
      <c r="P28" s="97"/>
      <c r="Q28" s="26" t="s">
        <v>240</v>
      </c>
      <c r="R28" s="27">
        <v>450000</v>
      </c>
      <c r="S28" s="26">
        <v>0</v>
      </c>
      <c r="T28" s="27">
        <f t="shared" si="11"/>
        <v>0</v>
      </c>
      <c r="U28" s="27">
        <v>450000</v>
      </c>
      <c r="V28" s="26">
        <v>0</v>
      </c>
      <c r="W28" s="27">
        <f t="shared" si="12"/>
        <v>0</v>
      </c>
      <c r="X28" s="27">
        <v>450000</v>
      </c>
      <c r="Y28" s="26">
        <v>0</v>
      </c>
      <c r="Z28" s="27">
        <f t="shared" si="13"/>
        <v>0</v>
      </c>
      <c r="AA28" s="27">
        <v>450000</v>
      </c>
      <c r="AB28" s="26">
        <v>0</v>
      </c>
      <c r="AC28" s="27">
        <f t="shared" si="14"/>
        <v>0</v>
      </c>
    </row>
    <row r="29" spans="2:29" ht="17.25">
      <c r="B29" s="26" t="s">
        <v>241</v>
      </c>
      <c r="C29" s="27">
        <v>220000</v>
      </c>
      <c r="D29" s="26">
        <v>0</v>
      </c>
      <c r="E29" s="27">
        <f t="shared" si="7"/>
        <v>0</v>
      </c>
      <c r="F29" s="27">
        <v>220000</v>
      </c>
      <c r="G29" s="26">
        <v>0</v>
      </c>
      <c r="H29" s="27">
        <f t="shared" si="8"/>
        <v>0</v>
      </c>
      <c r="I29" s="27">
        <v>220000</v>
      </c>
      <c r="J29" s="26">
        <v>0</v>
      </c>
      <c r="K29" s="27">
        <f t="shared" si="9"/>
        <v>0</v>
      </c>
      <c r="L29" s="27">
        <v>220000</v>
      </c>
      <c r="M29" s="26">
        <v>0</v>
      </c>
      <c r="N29" s="27">
        <f t="shared" si="10"/>
        <v>0</v>
      </c>
      <c r="O29" s="97"/>
      <c r="P29" s="97"/>
      <c r="Q29" s="26" t="s">
        <v>241</v>
      </c>
      <c r="R29" s="27">
        <v>220000</v>
      </c>
      <c r="S29" s="26">
        <v>0</v>
      </c>
      <c r="T29" s="27">
        <f t="shared" si="11"/>
        <v>0</v>
      </c>
      <c r="U29" s="27">
        <v>220000</v>
      </c>
      <c r="V29" s="26">
        <v>0</v>
      </c>
      <c r="W29" s="27">
        <f t="shared" si="12"/>
        <v>0</v>
      </c>
      <c r="X29" s="27">
        <v>220000</v>
      </c>
      <c r="Y29" s="26">
        <v>0</v>
      </c>
      <c r="Z29" s="27">
        <f t="shared" si="13"/>
        <v>0</v>
      </c>
      <c r="AA29" s="27">
        <v>220000</v>
      </c>
      <c r="AB29" s="26">
        <v>0</v>
      </c>
      <c r="AC29" s="27">
        <f t="shared" si="14"/>
        <v>0</v>
      </c>
    </row>
    <row r="30" spans="2:29" s="1" customFormat="1" ht="17.25">
      <c r="B30" s="102"/>
      <c r="C30" s="102"/>
      <c r="D30" s="100" t="s">
        <v>48</v>
      </c>
      <c r="E30" s="103">
        <f>SUM(E21:E29)</f>
        <v>416561500</v>
      </c>
      <c r="F30" s="102"/>
      <c r="G30" s="100" t="s">
        <v>48</v>
      </c>
      <c r="H30" s="103">
        <f>SUM(H21:H29)</f>
        <v>289918200</v>
      </c>
      <c r="I30" s="102"/>
      <c r="J30" s="100" t="s">
        <v>48</v>
      </c>
      <c r="K30" s="103">
        <f>SUM(K21:K29)</f>
        <v>286769366.66666663</v>
      </c>
      <c r="L30" s="102"/>
      <c r="M30" s="100" t="s">
        <v>48</v>
      </c>
      <c r="N30" s="103">
        <f>SUM(N21:N29)</f>
        <v>41785500</v>
      </c>
      <c r="O30" s="98"/>
      <c r="P30" s="98"/>
      <c r="Q30" s="102"/>
      <c r="R30" s="102"/>
      <c r="S30" s="100" t="s">
        <v>48</v>
      </c>
      <c r="T30" s="103">
        <f>SUM(T21:T29)</f>
        <v>415901500</v>
      </c>
      <c r="U30" s="102"/>
      <c r="V30" s="100" t="s">
        <v>48</v>
      </c>
      <c r="W30" s="103">
        <f>SUM(W21:W29)</f>
        <v>289698200</v>
      </c>
      <c r="X30" s="102"/>
      <c r="Y30" s="100" t="s">
        <v>48</v>
      </c>
      <c r="Z30" s="103">
        <f>SUM(Z21:Z29)</f>
        <v>286329366.66666663</v>
      </c>
      <c r="AA30" s="102"/>
      <c r="AB30" s="100" t="s">
        <v>48</v>
      </c>
      <c r="AC30" s="103">
        <f>SUM(AC21:AC29)</f>
        <v>41785500</v>
      </c>
    </row>
    <row r="31" spans="2:29" ht="17.25">
      <c r="B31" s="97"/>
      <c r="C31" s="97"/>
      <c r="D31" s="97"/>
      <c r="E31" s="97"/>
      <c r="F31" s="97"/>
      <c r="G31" s="97"/>
      <c r="H31" s="97"/>
      <c r="I31" s="97"/>
      <c r="J31" s="110"/>
      <c r="K31" s="110"/>
      <c r="L31" s="110"/>
      <c r="M31" s="110"/>
      <c r="N31" s="110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110"/>
      <c r="Z31" s="110"/>
      <c r="AA31" s="97"/>
      <c r="AB31" s="97"/>
      <c r="AC31" s="97"/>
    </row>
    <row r="32" spans="2:29" ht="17.25">
      <c r="B32" s="97"/>
      <c r="C32" s="97"/>
      <c r="D32" s="97"/>
      <c r="E32" s="97"/>
      <c r="F32" s="97"/>
      <c r="G32" s="97"/>
      <c r="H32" s="97"/>
      <c r="I32" s="97"/>
      <c r="J32" s="110" t="s">
        <v>20</v>
      </c>
      <c r="K32" s="253">
        <f>SUM(E30,H30,K30,N30)/26</f>
        <v>39809021.794871792</v>
      </c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110" t="s">
        <v>20</v>
      </c>
      <c r="Z32" s="253">
        <f>SUM(T30,W30,Z30,AC30)/26</f>
        <v>39758252.56410256</v>
      </c>
      <c r="AA32" s="97"/>
      <c r="AB32" s="97"/>
      <c r="AC32" s="97"/>
    </row>
    <row r="33" spans="2:32" ht="17.25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</row>
    <row r="34" spans="2:32" ht="17.25" hidden="1">
      <c r="B34" s="370" t="s">
        <v>5</v>
      </c>
      <c r="C34" s="367" t="s">
        <v>10</v>
      </c>
      <c r="D34" s="368"/>
      <c r="E34" s="369"/>
      <c r="F34" s="367" t="s">
        <v>15</v>
      </c>
      <c r="G34" s="368"/>
      <c r="H34" s="369"/>
      <c r="I34" s="367" t="s">
        <v>17</v>
      </c>
      <c r="J34" s="368"/>
      <c r="K34" s="369"/>
      <c r="L34" s="105"/>
      <c r="M34" s="105"/>
      <c r="N34" s="105"/>
      <c r="O34" s="97"/>
      <c r="P34" s="97"/>
      <c r="Q34" s="370" t="s">
        <v>5</v>
      </c>
      <c r="R34" s="367" t="s">
        <v>10</v>
      </c>
      <c r="S34" s="368"/>
      <c r="T34" s="369"/>
      <c r="U34" s="367" t="s">
        <v>15</v>
      </c>
      <c r="V34" s="368"/>
      <c r="W34" s="369"/>
      <c r="X34" s="367" t="s">
        <v>17</v>
      </c>
      <c r="Y34" s="368"/>
      <c r="Z34" s="369"/>
      <c r="AA34" s="97"/>
      <c r="AB34" s="97"/>
      <c r="AC34" s="97"/>
    </row>
    <row r="35" spans="2:32" ht="17.25" hidden="1">
      <c r="B35" s="371"/>
      <c r="C35" s="99" t="s">
        <v>180</v>
      </c>
      <c r="D35" s="100" t="s">
        <v>41</v>
      </c>
      <c r="E35" s="100" t="s">
        <v>44</v>
      </c>
      <c r="F35" s="99" t="s">
        <v>180</v>
      </c>
      <c r="G35" s="100" t="s">
        <v>41</v>
      </c>
      <c r="H35" s="100" t="s">
        <v>44</v>
      </c>
      <c r="I35" s="99" t="s">
        <v>180</v>
      </c>
      <c r="J35" s="100" t="s">
        <v>41</v>
      </c>
      <c r="K35" s="100" t="s">
        <v>44</v>
      </c>
      <c r="L35" s="105"/>
      <c r="M35" s="105"/>
      <c r="N35" s="105"/>
      <c r="O35" s="97"/>
      <c r="P35" s="97"/>
      <c r="Q35" s="371"/>
      <c r="R35" s="99" t="s">
        <v>180</v>
      </c>
      <c r="S35" s="100" t="s">
        <v>41</v>
      </c>
      <c r="T35" s="100" t="s">
        <v>44</v>
      </c>
      <c r="U35" s="99" t="s">
        <v>180</v>
      </c>
      <c r="V35" s="100" t="s">
        <v>41</v>
      </c>
      <c r="W35" s="100" t="s">
        <v>44</v>
      </c>
      <c r="X35" s="99" t="s">
        <v>180</v>
      </c>
      <c r="Y35" s="100" t="s">
        <v>41</v>
      </c>
      <c r="Z35" s="100" t="s">
        <v>44</v>
      </c>
      <c r="AA35" s="97"/>
      <c r="AB35" s="97"/>
      <c r="AC35" s="97"/>
    </row>
    <row r="36" spans="2:32" ht="17.25" hidden="1">
      <c r="B36" s="26" t="s">
        <v>233</v>
      </c>
      <c r="C36" s="27"/>
      <c r="D36" s="26">
        <v>1</v>
      </c>
      <c r="E36" s="27">
        <f t="shared" ref="E36:E44" si="15">+C36*D36</f>
        <v>0</v>
      </c>
      <c r="F36" s="27"/>
      <c r="G36" s="26">
        <v>1</v>
      </c>
      <c r="H36" s="108">
        <f t="shared" ref="H36:H44" si="16">+F36*G36</f>
        <v>0</v>
      </c>
      <c r="I36" s="27"/>
      <c r="J36" s="26">
        <v>1</v>
      </c>
      <c r="K36" s="27">
        <f t="shared" ref="K36:K44" si="17">+I36*J36</f>
        <v>0</v>
      </c>
      <c r="L36" s="111"/>
      <c r="M36" s="111"/>
      <c r="N36" s="111"/>
      <c r="O36" s="97"/>
      <c r="P36" s="97"/>
      <c r="Q36" s="26" t="s">
        <v>233</v>
      </c>
      <c r="R36" s="27"/>
      <c r="S36" s="26">
        <v>1</v>
      </c>
      <c r="T36" s="27">
        <f t="shared" ref="T36:T44" si="18">+R36*S36</f>
        <v>0</v>
      </c>
      <c r="U36" s="27"/>
      <c r="V36" s="26">
        <v>1</v>
      </c>
      <c r="W36" s="27">
        <f t="shared" ref="W36:W44" si="19">+U36*V36</f>
        <v>0</v>
      </c>
      <c r="X36" s="27"/>
      <c r="Y36" s="26">
        <v>1</v>
      </c>
      <c r="Z36" s="27">
        <f t="shared" ref="Z36:Z44" si="20">+X36*Y36</f>
        <v>0</v>
      </c>
      <c r="AA36" s="97"/>
      <c r="AB36" s="97"/>
      <c r="AC36" s="97"/>
    </row>
    <row r="37" spans="2:32" ht="17.25" hidden="1">
      <c r="B37" s="26" t="s">
        <v>234</v>
      </c>
      <c r="C37" s="27"/>
      <c r="D37" s="26">
        <v>1</v>
      </c>
      <c r="E37" s="27">
        <f t="shared" si="15"/>
        <v>0</v>
      </c>
      <c r="F37" s="27"/>
      <c r="G37" s="26">
        <v>1</v>
      </c>
      <c r="H37" s="108">
        <f t="shared" si="16"/>
        <v>0</v>
      </c>
      <c r="I37" s="27"/>
      <c r="J37" s="26">
        <v>1</v>
      </c>
      <c r="K37" s="27">
        <f t="shared" si="17"/>
        <v>0</v>
      </c>
      <c r="L37" s="111"/>
      <c r="M37" s="111"/>
      <c r="N37" s="111"/>
      <c r="O37" s="97"/>
      <c r="P37" s="97"/>
      <c r="Q37" s="26" t="s">
        <v>234</v>
      </c>
      <c r="R37" s="27"/>
      <c r="S37" s="26">
        <v>1</v>
      </c>
      <c r="T37" s="27">
        <f t="shared" si="18"/>
        <v>0</v>
      </c>
      <c r="U37" s="27"/>
      <c r="V37" s="26">
        <v>1</v>
      </c>
      <c r="W37" s="27">
        <f t="shared" si="19"/>
        <v>0</v>
      </c>
      <c r="X37" s="27"/>
      <c r="Y37" s="26">
        <v>1</v>
      </c>
      <c r="Z37" s="27">
        <f t="shared" si="20"/>
        <v>0</v>
      </c>
      <c r="AA37" s="97"/>
      <c r="AB37" s="97"/>
      <c r="AC37" s="97"/>
    </row>
    <row r="38" spans="2:32" ht="17.25" hidden="1">
      <c r="B38" s="26" t="s">
        <v>235</v>
      </c>
      <c r="C38" s="27"/>
      <c r="D38" s="26">
        <v>0</v>
      </c>
      <c r="E38" s="27">
        <f t="shared" si="15"/>
        <v>0</v>
      </c>
      <c r="F38" s="27"/>
      <c r="G38" s="26"/>
      <c r="H38" s="108">
        <f t="shared" si="16"/>
        <v>0</v>
      </c>
      <c r="I38" s="27"/>
      <c r="J38" s="26">
        <v>0</v>
      </c>
      <c r="K38" s="27">
        <f t="shared" si="17"/>
        <v>0</v>
      </c>
      <c r="L38" s="111"/>
      <c r="M38" s="111"/>
      <c r="N38" s="111"/>
      <c r="O38" s="97"/>
      <c r="P38" s="97"/>
      <c r="Q38" s="26" t="s">
        <v>235</v>
      </c>
      <c r="R38" s="27"/>
      <c r="S38" s="26">
        <v>0</v>
      </c>
      <c r="T38" s="27">
        <f t="shared" si="18"/>
        <v>0</v>
      </c>
      <c r="U38" s="27"/>
      <c r="V38" s="26"/>
      <c r="W38" s="27">
        <f t="shared" si="19"/>
        <v>0</v>
      </c>
      <c r="X38" s="27"/>
      <c r="Y38" s="26">
        <v>0</v>
      </c>
      <c r="Z38" s="27">
        <f t="shared" si="20"/>
        <v>0</v>
      </c>
      <c r="AA38" s="97"/>
      <c r="AB38" s="97"/>
      <c r="AC38" s="97"/>
    </row>
    <row r="39" spans="2:32" ht="17.25" hidden="1">
      <c r="B39" s="26" t="s">
        <v>236</v>
      </c>
      <c r="C39" s="27"/>
      <c r="D39" s="26">
        <v>16</v>
      </c>
      <c r="E39" s="27">
        <f t="shared" si="15"/>
        <v>0</v>
      </c>
      <c r="F39" s="27"/>
      <c r="G39" s="26">
        <v>35</v>
      </c>
      <c r="H39" s="108">
        <f t="shared" si="16"/>
        <v>0</v>
      </c>
      <c r="I39" s="27"/>
      <c r="J39" s="26">
        <v>20</v>
      </c>
      <c r="K39" s="27">
        <f t="shared" si="17"/>
        <v>0</v>
      </c>
      <c r="L39" s="111"/>
      <c r="M39" s="111"/>
      <c r="N39" s="111"/>
      <c r="O39" s="97"/>
      <c r="P39" s="97"/>
      <c r="Q39" s="26" t="s">
        <v>236</v>
      </c>
      <c r="R39" s="27"/>
      <c r="S39" s="26">
        <v>16</v>
      </c>
      <c r="T39" s="27">
        <f t="shared" si="18"/>
        <v>0</v>
      </c>
      <c r="U39" s="27"/>
      <c r="V39" s="26">
        <v>35</v>
      </c>
      <c r="W39" s="27">
        <f t="shared" si="19"/>
        <v>0</v>
      </c>
      <c r="X39" s="27"/>
      <c r="Y39" s="26">
        <v>20</v>
      </c>
      <c r="Z39" s="27">
        <f t="shared" si="20"/>
        <v>0</v>
      </c>
      <c r="AA39" s="97"/>
      <c r="AB39" s="97"/>
      <c r="AC39" s="97"/>
    </row>
    <row r="40" spans="2:32" ht="17.25" hidden="1">
      <c r="B40" s="26" t="s">
        <v>237</v>
      </c>
      <c r="C40" s="27"/>
      <c r="D40" s="26">
        <v>0.3</v>
      </c>
      <c r="E40" s="27">
        <f t="shared" si="15"/>
        <v>0</v>
      </c>
      <c r="F40" s="27"/>
      <c r="G40" s="26">
        <v>0.5</v>
      </c>
      <c r="H40" s="108">
        <f t="shared" si="16"/>
        <v>0</v>
      </c>
      <c r="I40" s="27"/>
      <c r="J40" s="26">
        <v>0.3</v>
      </c>
      <c r="K40" s="27">
        <f t="shared" si="17"/>
        <v>0</v>
      </c>
      <c r="L40" s="111"/>
      <c r="M40" s="111"/>
      <c r="N40" s="111"/>
      <c r="O40" s="97"/>
      <c r="P40" s="97"/>
      <c r="Q40" s="26" t="s">
        <v>237</v>
      </c>
      <c r="R40" s="27"/>
      <c r="S40" s="26">
        <v>0.3</v>
      </c>
      <c r="T40" s="27">
        <f t="shared" si="18"/>
        <v>0</v>
      </c>
      <c r="U40" s="27"/>
      <c r="V40" s="26">
        <v>0.5</v>
      </c>
      <c r="W40" s="27">
        <f t="shared" si="19"/>
        <v>0</v>
      </c>
      <c r="X40" s="27"/>
      <c r="Y40" s="26">
        <v>0.3</v>
      </c>
      <c r="Z40" s="27">
        <f t="shared" si="20"/>
        <v>0</v>
      </c>
      <c r="AA40" s="97"/>
      <c r="AB40" s="97"/>
      <c r="AC40" s="97"/>
    </row>
    <row r="41" spans="2:32" ht="17.25" hidden="1">
      <c r="B41" s="26" t="s">
        <v>238</v>
      </c>
      <c r="C41" s="27"/>
      <c r="D41" s="26">
        <v>0</v>
      </c>
      <c r="E41" s="27">
        <f t="shared" si="15"/>
        <v>0</v>
      </c>
      <c r="F41" s="27"/>
      <c r="G41" s="26">
        <v>0</v>
      </c>
      <c r="H41" s="108">
        <f t="shared" si="16"/>
        <v>0</v>
      </c>
      <c r="I41" s="27"/>
      <c r="J41" s="26">
        <v>0</v>
      </c>
      <c r="K41" s="27">
        <f t="shared" si="17"/>
        <v>0</v>
      </c>
      <c r="L41" s="111"/>
      <c r="M41" s="111"/>
      <c r="N41" s="111"/>
      <c r="O41" s="97"/>
      <c r="P41" s="97"/>
      <c r="Q41" s="26" t="s">
        <v>238</v>
      </c>
      <c r="R41" s="27"/>
      <c r="S41" s="26">
        <v>0</v>
      </c>
      <c r="T41" s="27">
        <f t="shared" si="18"/>
        <v>0</v>
      </c>
      <c r="U41" s="27"/>
      <c r="V41" s="26">
        <v>0</v>
      </c>
      <c r="W41" s="27">
        <f t="shared" si="19"/>
        <v>0</v>
      </c>
      <c r="X41" s="27"/>
      <c r="Y41" s="26">
        <v>1</v>
      </c>
      <c r="Z41" s="27">
        <f t="shared" si="20"/>
        <v>0</v>
      </c>
      <c r="AA41" s="97"/>
      <c r="AB41" s="97"/>
      <c r="AC41" s="97"/>
    </row>
    <row r="42" spans="2:32" ht="17.25" hidden="1">
      <c r="B42" s="26" t="s">
        <v>239</v>
      </c>
      <c r="C42" s="27"/>
      <c r="D42" s="26">
        <v>0</v>
      </c>
      <c r="E42" s="27">
        <f t="shared" si="15"/>
        <v>0</v>
      </c>
      <c r="F42" s="27"/>
      <c r="G42" s="26">
        <v>0</v>
      </c>
      <c r="H42" s="108">
        <f t="shared" si="16"/>
        <v>0</v>
      </c>
      <c r="I42" s="27"/>
      <c r="J42" s="26">
        <v>0</v>
      </c>
      <c r="K42" s="27">
        <f t="shared" si="17"/>
        <v>0</v>
      </c>
      <c r="L42" s="111"/>
      <c r="M42" s="111"/>
      <c r="N42" s="111"/>
      <c r="O42" s="97"/>
      <c r="P42" s="97"/>
      <c r="Q42" s="26" t="s">
        <v>239</v>
      </c>
      <c r="R42" s="27"/>
      <c r="S42" s="26">
        <v>0</v>
      </c>
      <c r="T42" s="27">
        <f t="shared" si="18"/>
        <v>0</v>
      </c>
      <c r="U42" s="27"/>
      <c r="V42" s="26">
        <v>0</v>
      </c>
      <c r="W42" s="27">
        <f t="shared" si="19"/>
        <v>0</v>
      </c>
      <c r="X42" s="27"/>
      <c r="Y42" s="26">
        <v>1</v>
      </c>
      <c r="Z42" s="27">
        <f t="shared" si="20"/>
        <v>0</v>
      </c>
      <c r="AA42" s="97"/>
      <c r="AB42" s="97"/>
      <c r="AC42" s="97"/>
    </row>
    <row r="43" spans="2:32" ht="17.25" hidden="1">
      <c r="B43" s="26" t="s">
        <v>240</v>
      </c>
      <c r="C43" s="27"/>
      <c r="D43" s="26">
        <v>0</v>
      </c>
      <c r="E43" s="27">
        <f t="shared" si="15"/>
        <v>0</v>
      </c>
      <c r="F43" s="27"/>
      <c r="G43" s="26">
        <v>0</v>
      </c>
      <c r="H43" s="108">
        <f t="shared" si="16"/>
        <v>0</v>
      </c>
      <c r="I43" s="27"/>
      <c r="J43" s="26">
        <v>0</v>
      </c>
      <c r="K43" s="27">
        <f t="shared" si="17"/>
        <v>0</v>
      </c>
      <c r="L43" s="111"/>
      <c r="M43" s="111"/>
      <c r="N43" s="111"/>
      <c r="O43" s="97"/>
      <c r="P43" s="97"/>
      <c r="Q43" s="26" t="s">
        <v>240</v>
      </c>
      <c r="R43" s="27"/>
      <c r="S43" s="26">
        <v>0</v>
      </c>
      <c r="T43" s="27">
        <f t="shared" si="18"/>
        <v>0</v>
      </c>
      <c r="U43" s="27"/>
      <c r="V43" s="26">
        <v>0</v>
      </c>
      <c r="W43" s="27">
        <f t="shared" si="19"/>
        <v>0</v>
      </c>
      <c r="X43" s="27"/>
      <c r="Y43" s="26">
        <v>1</v>
      </c>
      <c r="Z43" s="27">
        <f t="shared" si="20"/>
        <v>0</v>
      </c>
      <c r="AA43" s="97"/>
      <c r="AB43" s="97"/>
      <c r="AC43" s="97"/>
    </row>
    <row r="44" spans="2:32" ht="17.25" hidden="1">
      <c r="B44" s="26" t="s">
        <v>241</v>
      </c>
      <c r="C44" s="27"/>
      <c r="D44" s="26">
        <v>0</v>
      </c>
      <c r="E44" s="27">
        <f t="shared" si="15"/>
        <v>0</v>
      </c>
      <c r="F44" s="27"/>
      <c r="G44" s="26">
        <v>0</v>
      </c>
      <c r="H44" s="108">
        <f t="shared" si="16"/>
        <v>0</v>
      </c>
      <c r="I44" s="27"/>
      <c r="J44" s="26">
        <v>0</v>
      </c>
      <c r="K44" s="27">
        <f t="shared" si="17"/>
        <v>0</v>
      </c>
      <c r="L44" s="111"/>
      <c r="M44" s="111"/>
      <c r="N44" s="111"/>
      <c r="O44" s="97"/>
      <c r="P44" s="97"/>
      <c r="Q44" s="26" t="s">
        <v>241</v>
      </c>
      <c r="R44" s="27"/>
      <c r="S44" s="26">
        <v>0</v>
      </c>
      <c r="T44" s="27">
        <f t="shared" si="18"/>
        <v>0</v>
      </c>
      <c r="U44" s="27"/>
      <c r="V44" s="26">
        <v>0</v>
      </c>
      <c r="W44" s="27">
        <f t="shared" si="19"/>
        <v>0</v>
      </c>
      <c r="X44" s="27"/>
      <c r="Y44" s="26">
        <v>0</v>
      </c>
      <c r="Z44" s="27">
        <f t="shared" si="20"/>
        <v>0</v>
      </c>
      <c r="AA44" s="97"/>
      <c r="AB44" s="97"/>
      <c r="AC44" s="97"/>
    </row>
    <row r="45" spans="2:32" ht="17.25" hidden="1">
      <c r="B45" s="102"/>
      <c r="C45" s="102"/>
      <c r="D45" s="100" t="s">
        <v>48</v>
      </c>
      <c r="E45" s="103">
        <f>SUM(E36:E44)</f>
        <v>0</v>
      </c>
      <c r="F45" s="102"/>
      <c r="G45" s="100" t="s">
        <v>48</v>
      </c>
      <c r="H45" s="103">
        <f>SUM(H36:H44)</f>
        <v>0</v>
      </c>
      <c r="I45" s="102"/>
      <c r="J45" s="100" t="s">
        <v>48</v>
      </c>
      <c r="K45" s="103">
        <f>SUM(K36:K44)</f>
        <v>0</v>
      </c>
      <c r="L45" s="106"/>
      <c r="M45" s="106"/>
      <c r="N45" s="106"/>
      <c r="O45" s="97"/>
      <c r="P45" s="97"/>
      <c r="Q45" s="102"/>
      <c r="R45" s="102"/>
      <c r="S45" s="100" t="s">
        <v>48</v>
      </c>
      <c r="T45" s="103">
        <f>SUM(T36:T44)</f>
        <v>0</v>
      </c>
      <c r="U45" s="102"/>
      <c r="V45" s="100" t="s">
        <v>48</v>
      </c>
      <c r="W45" s="112">
        <f>SUM(W36:W44)</f>
        <v>0</v>
      </c>
      <c r="X45" s="102"/>
      <c r="Y45" s="100" t="s">
        <v>48</v>
      </c>
      <c r="Z45" s="103">
        <f>SUM(Z36:Z44)</f>
        <v>0</v>
      </c>
      <c r="AA45" s="97"/>
      <c r="AB45" s="97"/>
      <c r="AC45" s="97"/>
    </row>
    <row r="46" spans="2:32" ht="17.25" hidden="1">
      <c r="B46" s="97"/>
      <c r="C46" s="97"/>
      <c r="D46" s="97"/>
      <c r="E46" s="97"/>
      <c r="F46" s="97"/>
      <c r="G46" s="97"/>
      <c r="H46" s="97"/>
      <c r="I46" s="97"/>
      <c r="J46" s="97"/>
      <c r="K46" s="110">
        <f>(E45+H45+K45)/3</f>
        <v>0</v>
      </c>
      <c r="L46" s="110"/>
      <c r="M46" s="110"/>
      <c r="N46" s="110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110">
        <f>(T45+W45+Z45)/3</f>
        <v>0</v>
      </c>
      <c r="AA46" s="97"/>
      <c r="AB46" s="97"/>
      <c r="AC46" s="97"/>
    </row>
    <row r="47" spans="2:32" ht="17.25">
      <c r="B47" s="97"/>
      <c r="C47" s="97"/>
      <c r="D47" s="97"/>
      <c r="E47" s="97"/>
      <c r="F47" s="97"/>
      <c r="G47" s="97"/>
      <c r="H47" s="97"/>
      <c r="I47" s="97"/>
      <c r="J47" s="97"/>
      <c r="K47" s="110"/>
      <c r="L47" s="110"/>
      <c r="M47" s="110"/>
      <c r="N47" s="110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110"/>
      <c r="AA47" s="97"/>
      <c r="AB47" s="97"/>
      <c r="AC47" s="97"/>
    </row>
    <row r="48" spans="2:32" ht="17.25">
      <c r="B48" s="370" t="s">
        <v>6</v>
      </c>
      <c r="C48" s="367" t="s">
        <v>10</v>
      </c>
      <c r="D48" s="368"/>
      <c r="E48" s="369"/>
      <c r="F48" s="367" t="s">
        <v>251</v>
      </c>
      <c r="G48" s="368"/>
      <c r="H48" s="369"/>
      <c r="I48" s="367" t="s">
        <v>17</v>
      </c>
      <c r="J48" s="368"/>
      <c r="K48" s="369"/>
      <c r="L48" s="367" t="s">
        <v>252</v>
      </c>
      <c r="M48" s="368"/>
      <c r="N48" s="369"/>
      <c r="O48" s="97"/>
      <c r="P48" s="97"/>
      <c r="Q48" s="370" t="s">
        <v>6</v>
      </c>
      <c r="R48" s="367" t="s">
        <v>10</v>
      </c>
      <c r="S48" s="368"/>
      <c r="T48" s="369"/>
      <c r="U48" s="367" t="s">
        <v>15</v>
      </c>
      <c r="V48" s="368"/>
      <c r="W48" s="369"/>
      <c r="X48" s="367" t="s">
        <v>17</v>
      </c>
      <c r="Y48" s="368"/>
      <c r="Z48" s="369"/>
      <c r="AA48" s="367" t="s">
        <v>252</v>
      </c>
      <c r="AB48" s="368"/>
      <c r="AC48" s="369"/>
      <c r="AD48" s="367" t="s">
        <v>293</v>
      </c>
      <c r="AE48" s="368"/>
      <c r="AF48" s="369"/>
    </row>
    <row r="49" spans="2:32" ht="17.25">
      <c r="B49" s="371"/>
      <c r="C49" s="99" t="s">
        <v>180</v>
      </c>
      <c r="D49" s="100" t="s">
        <v>41</v>
      </c>
      <c r="E49" s="100" t="s">
        <v>44</v>
      </c>
      <c r="F49" s="99" t="s">
        <v>180</v>
      </c>
      <c r="G49" s="100" t="s">
        <v>41</v>
      </c>
      <c r="H49" s="100" t="s">
        <v>44</v>
      </c>
      <c r="I49" s="99" t="s">
        <v>180</v>
      </c>
      <c r="J49" s="100" t="s">
        <v>41</v>
      </c>
      <c r="K49" s="100" t="s">
        <v>44</v>
      </c>
      <c r="L49" s="99" t="s">
        <v>180</v>
      </c>
      <c r="M49" s="100" t="s">
        <v>41</v>
      </c>
      <c r="N49" s="100" t="s">
        <v>44</v>
      </c>
      <c r="O49" s="97"/>
      <c r="P49" s="97"/>
      <c r="Q49" s="371"/>
      <c r="R49" s="99" t="s">
        <v>180</v>
      </c>
      <c r="S49" s="100" t="s">
        <v>41</v>
      </c>
      <c r="T49" s="100" t="s">
        <v>44</v>
      </c>
      <c r="U49" s="99" t="s">
        <v>180</v>
      </c>
      <c r="V49" s="100" t="s">
        <v>41</v>
      </c>
      <c r="W49" s="100" t="s">
        <v>44</v>
      </c>
      <c r="X49" s="99" t="s">
        <v>180</v>
      </c>
      <c r="Y49" s="100" t="s">
        <v>41</v>
      </c>
      <c r="Z49" s="100" t="s">
        <v>44</v>
      </c>
      <c r="AA49" s="99" t="s">
        <v>180</v>
      </c>
      <c r="AB49" s="100" t="s">
        <v>41</v>
      </c>
      <c r="AC49" s="100" t="s">
        <v>44</v>
      </c>
      <c r="AD49" s="99" t="s">
        <v>180</v>
      </c>
      <c r="AE49" s="100" t="s">
        <v>41</v>
      </c>
      <c r="AF49" s="100" t="s">
        <v>44</v>
      </c>
    </row>
    <row r="50" spans="2:32" ht="17.25">
      <c r="B50" s="26" t="s">
        <v>233</v>
      </c>
      <c r="C50" s="27">
        <v>21673254</v>
      </c>
      <c r="D50" s="26">
        <v>11</v>
      </c>
      <c r="E50" s="27">
        <f t="shared" ref="E50:E58" si="21">+C50*D50</f>
        <v>238405794</v>
      </c>
      <c r="F50" s="27">
        <v>23273254</v>
      </c>
      <c r="G50" s="26">
        <v>7</v>
      </c>
      <c r="H50" s="27">
        <f t="shared" ref="H50:H58" si="22">+F50*G50</f>
        <v>162912778</v>
      </c>
      <c r="I50" s="27">
        <v>23273254</v>
      </c>
      <c r="J50" s="26">
        <v>7</v>
      </c>
      <c r="K50" s="27">
        <f t="shared" ref="K50:K58" si="23">+I50*J50</f>
        <v>162912778</v>
      </c>
      <c r="L50" s="27">
        <v>23973253.968254</v>
      </c>
      <c r="M50" s="26">
        <v>1</v>
      </c>
      <c r="N50" s="27">
        <f t="shared" ref="N50:N58" si="24">+L50*M50</f>
        <v>23973253.968254</v>
      </c>
      <c r="O50" s="97"/>
      <c r="P50" s="97"/>
      <c r="Q50" s="26" t="s">
        <v>233</v>
      </c>
      <c r="R50" s="27">
        <v>21673254</v>
      </c>
      <c r="S50" s="26">
        <v>11</v>
      </c>
      <c r="T50" s="27">
        <f t="shared" ref="T50:T58" si="25">+R50*S50</f>
        <v>238405794</v>
      </c>
      <c r="U50" s="27">
        <v>23273254</v>
      </c>
      <c r="V50" s="26">
        <v>7</v>
      </c>
      <c r="W50" s="27">
        <f t="shared" ref="W50:W58" si="26">+U50*V50</f>
        <v>162912778</v>
      </c>
      <c r="X50" s="27">
        <v>23273254</v>
      </c>
      <c r="Y50" s="26">
        <v>7</v>
      </c>
      <c r="Z50" s="27">
        <f t="shared" ref="Z50:Z58" si="27">+X50*Y50</f>
        <v>162912778</v>
      </c>
      <c r="AA50" s="27">
        <v>23973253.968254</v>
      </c>
      <c r="AB50" s="26">
        <v>1</v>
      </c>
      <c r="AC50" s="27">
        <f t="shared" ref="AC50:AC58" si="28">+AA50*AB50</f>
        <v>23973253.968254</v>
      </c>
      <c r="AD50" s="27">
        <v>23273254</v>
      </c>
      <c r="AE50" s="26">
        <v>1</v>
      </c>
      <c r="AF50" s="27">
        <f t="shared" ref="AF50:AF58" si="29">+AD50*AE50</f>
        <v>23273254</v>
      </c>
    </row>
    <row r="51" spans="2:32" ht="17.25">
      <c r="B51" s="26" t="s">
        <v>234</v>
      </c>
      <c r="C51" s="27">
        <v>6483840</v>
      </c>
      <c r="D51" s="26">
        <v>11</v>
      </c>
      <c r="E51" s="27">
        <f t="shared" si="21"/>
        <v>71322240</v>
      </c>
      <c r="F51" s="27">
        <v>8712660</v>
      </c>
      <c r="G51" s="26">
        <v>7</v>
      </c>
      <c r="H51" s="27">
        <f t="shared" si="22"/>
        <v>60988620</v>
      </c>
      <c r="I51" s="27">
        <v>8712660</v>
      </c>
      <c r="J51" s="26">
        <v>7</v>
      </c>
      <c r="K51" s="27">
        <f t="shared" si="23"/>
        <v>60988620</v>
      </c>
      <c r="L51" s="27">
        <v>9117900</v>
      </c>
      <c r="M51" s="26">
        <v>1</v>
      </c>
      <c r="N51" s="27">
        <f t="shared" si="24"/>
        <v>9117900</v>
      </c>
      <c r="O51" s="97"/>
      <c r="P51" s="97"/>
      <c r="Q51" s="26" t="s">
        <v>234</v>
      </c>
      <c r="R51" s="27">
        <v>6483840</v>
      </c>
      <c r="S51" s="26">
        <v>11</v>
      </c>
      <c r="T51" s="27">
        <f t="shared" si="25"/>
        <v>71322240</v>
      </c>
      <c r="U51" s="27">
        <v>8712660</v>
      </c>
      <c r="V51" s="26">
        <v>7</v>
      </c>
      <c r="W51" s="27">
        <f t="shared" si="26"/>
        <v>60988620</v>
      </c>
      <c r="X51" s="27">
        <v>8712660</v>
      </c>
      <c r="Y51" s="26">
        <v>7</v>
      </c>
      <c r="Z51" s="27">
        <f t="shared" si="27"/>
        <v>60988620</v>
      </c>
      <c r="AA51" s="27">
        <v>9117900</v>
      </c>
      <c r="AB51" s="26">
        <v>1</v>
      </c>
      <c r="AC51" s="27">
        <f t="shared" si="28"/>
        <v>9117900</v>
      </c>
      <c r="AD51" s="27">
        <v>8712660</v>
      </c>
      <c r="AE51" s="26">
        <v>1</v>
      </c>
      <c r="AF51" s="27">
        <f t="shared" si="29"/>
        <v>8712660</v>
      </c>
    </row>
    <row r="52" spans="2:32" ht="17.25">
      <c r="B52" s="26" t="s">
        <v>235</v>
      </c>
      <c r="C52" s="27">
        <v>6000</v>
      </c>
      <c r="D52" s="26">
        <v>0</v>
      </c>
      <c r="E52" s="27">
        <f t="shared" si="21"/>
        <v>0</v>
      </c>
      <c r="F52" s="27">
        <v>6000</v>
      </c>
      <c r="G52" s="26">
        <v>0</v>
      </c>
      <c r="H52" s="27">
        <f t="shared" si="22"/>
        <v>0</v>
      </c>
      <c r="I52" s="27">
        <v>6000</v>
      </c>
      <c r="J52" s="26">
        <v>0</v>
      </c>
      <c r="K52" s="27">
        <f t="shared" si="23"/>
        <v>0</v>
      </c>
      <c r="L52" s="27">
        <v>6000</v>
      </c>
      <c r="M52" s="27">
        <v>0</v>
      </c>
      <c r="N52" s="27">
        <f t="shared" si="24"/>
        <v>0</v>
      </c>
      <c r="O52" s="97"/>
      <c r="P52" s="97"/>
      <c r="Q52" s="26" t="s">
        <v>235</v>
      </c>
      <c r="R52" s="27">
        <v>6000</v>
      </c>
      <c r="S52" s="26">
        <v>0</v>
      </c>
      <c r="T52" s="27">
        <f t="shared" si="25"/>
        <v>0</v>
      </c>
      <c r="U52" s="27">
        <v>6000</v>
      </c>
      <c r="V52" s="26">
        <v>0</v>
      </c>
      <c r="W52" s="27">
        <f t="shared" si="26"/>
        <v>0</v>
      </c>
      <c r="X52" s="27">
        <v>6000</v>
      </c>
      <c r="Y52" s="26">
        <v>0</v>
      </c>
      <c r="Z52" s="27">
        <f t="shared" si="27"/>
        <v>0</v>
      </c>
      <c r="AA52" s="27">
        <v>6000</v>
      </c>
      <c r="AB52" s="27">
        <v>0</v>
      </c>
      <c r="AC52" s="27">
        <f t="shared" si="28"/>
        <v>0</v>
      </c>
      <c r="AD52" s="27">
        <v>6000</v>
      </c>
      <c r="AE52" s="27">
        <v>0</v>
      </c>
      <c r="AF52" s="27">
        <f t="shared" si="29"/>
        <v>0</v>
      </c>
    </row>
    <row r="53" spans="2:32" ht="17.25">
      <c r="B53" s="26" t="s">
        <v>236</v>
      </c>
      <c r="C53" s="27">
        <v>60000</v>
      </c>
      <c r="D53" s="26">
        <v>155</v>
      </c>
      <c r="E53" s="27">
        <f t="shared" si="21"/>
        <v>9300000</v>
      </c>
      <c r="F53" s="27">
        <v>60000</v>
      </c>
      <c r="G53" s="26">
        <v>174</v>
      </c>
      <c r="H53" s="27">
        <f t="shared" si="22"/>
        <v>10440000</v>
      </c>
      <c r="I53" s="27">
        <v>60000</v>
      </c>
      <c r="J53" s="26">
        <v>122.333333333333</v>
      </c>
      <c r="K53" s="27">
        <f t="shared" si="23"/>
        <v>7339999.9999999804</v>
      </c>
      <c r="L53" s="27">
        <v>60000</v>
      </c>
      <c r="M53" s="26">
        <v>62</v>
      </c>
      <c r="N53" s="27">
        <f t="shared" si="24"/>
        <v>3720000</v>
      </c>
      <c r="O53" s="97"/>
      <c r="P53" s="97"/>
      <c r="Q53" s="26" t="s">
        <v>236</v>
      </c>
      <c r="R53" s="27">
        <v>60000</v>
      </c>
      <c r="S53" s="26">
        <v>155</v>
      </c>
      <c r="T53" s="27">
        <f t="shared" si="25"/>
        <v>9300000</v>
      </c>
      <c r="U53" s="27">
        <v>60000</v>
      </c>
      <c r="V53" s="26">
        <v>174</v>
      </c>
      <c r="W53" s="27">
        <f t="shared" si="26"/>
        <v>10440000</v>
      </c>
      <c r="X53" s="27">
        <v>60000</v>
      </c>
      <c r="Y53" s="26">
        <v>122.333333333333</v>
      </c>
      <c r="Z53" s="27">
        <f t="shared" si="27"/>
        <v>7339999.9999999804</v>
      </c>
      <c r="AA53" s="27">
        <v>60000</v>
      </c>
      <c r="AB53" s="26">
        <v>62</v>
      </c>
      <c r="AC53" s="27">
        <f t="shared" si="28"/>
        <v>3720000</v>
      </c>
      <c r="AD53" s="27">
        <v>60000</v>
      </c>
      <c r="AE53" s="26">
        <v>25</v>
      </c>
      <c r="AF53" s="27">
        <f t="shared" si="29"/>
        <v>1500000</v>
      </c>
    </row>
    <row r="54" spans="2:32" ht="17.25">
      <c r="B54" s="26" t="s">
        <v>237</v>
      </c>
      <c r="C54" s="27">
        <v>1150000</v>
      </c>
      <c r="D54" s="26">
        <v>3</v>
      </c>
      <c r="E54" s="27">
        <f t="shared" si="21"/>
        <v>3450000</v>
      </c>
      <c r="F54" s="27">
        <v>1150000</v>
      </c>
      <c r="G54" s="26">
        <v>1</v>
      </c>
      <c r="H54" s="27">
        <f t="shared" si="22"/>
        <v>1150000</v>
      </c>
      <c r="I54" s="27">
        <v>1150000</v>
      </c>
      <c r="J54" s="26">
        <v>2</v>
      </c>
      <c r="K54" s="27">
        <f t="shared" si="23"/>
        <v>2300000</v>
      </c>
      <c r="L54" s="27">
        <v>1150000</v>
      </c>
      <c r="M54" s="26">
        <v>3</v>
      </c>
      <c r="N54" s="27">
        <f t="shared" si="24"/>
        <v>3450000</v>
      </c>
      <c r="O54" s="97"/>
      <c r="P54" s="97"/>
      <c r="Q54" s="26" t="s">
        <v>237</v>
      </c>
      <c r="R54" s="27">
        <v>1150000</v>
      </c>
      <c r="S54" s="26">
        <v>3</v>
      </c>
      <c r="T54" s="27">
        <f t="shared" si="25"/>
        <v>3450000</v>
      </c>
      <c r="U54" s="27">
        <v>1150000</v>
      </c>
      <c r="V54" s="26">
        <v>1</v>
      </c>
      <c r="W54" s="27">
        <f t="shared" si="26"/>
        <v>1150000</v>
      </c>
      <c r="X54" s="27">
        <v>1150000</v>
      </c>
      <c r="Y54" s="26">
        <v>2</v>
      </c>
      <c r="Z54" s="27">
        <f t="shared" si="27"/>
        <v>2300000</v>
      </c>
      <c r="AA54" s="27">
        <v>1150000</v>
      </c>
      <c r="AB54" s="26">
        <v>3</v>
      </c>
      <c r="AC54" s="27">
        <f t="shared" si="28"/>
        <v>3450000</v>
      </c>
      <c r="AD54" s="27">
        <v>1150000</v>
      </c>
      <c r="AE54" s="26">
        <v>0.5</v>
      </c>
      <c r="AF54" s="27">
        <f t="shared" si="29"/>
        <v>575000</v>
      </c>
    </row>
    <row r="55" spans="2:32" ht="17.25">
      <c r="B55" s="26" t="s">
        <v>238</v>
      </c>
      <c r="C55" s="27">
        <v>862500</v>
      </c>
      <c r="D55" s="26">
        <v>0</v>
      </c>
      <c r="E55" s="27">
        <f t="shared" si="21"/>
        <v>0</v>
      </c>
      <c r="F55" s="27">
        <v>862500</v>
      </c>
      <c r="G55" s="26">
        <v>0</v>
      </c>
      <c r="H55" s="27">
        <f t="shared" si="22"/>
        <v>0</v>
      </c>
      <c r="I55" s="27">
        <v>862500</v>
      </c>
      <c r="J55" s="26">
        <v>0</v>
      </c>
      <c r="K55" s="27">
        <f t="shared" si="23"/>
        <v>0</v>
      </c>
      <c r="L55" s="27">
        <v>600000</v>
      </c>
      <c r="M55" s="26">
        <v>0</v>
      </c>
      <c r="N55" s="27">
        <f t="shared" si="24"/>
        <v>0</v>
      </c>
      <c r="O55" s="97"/>
      <c r="P55" s="97"/>
      <c r="Q55" s="26" t="s">
        <v>238</v>
      </c>
      <c r="R55" s="27">
        <v>862500</v>
      </c>
      <c r="S55" s="26">
        <v>0</v>
      </c>
      <c r="T55" s="27">
        <f t="shared" si="25"/>
        <v>0</v>
      </c>
      <c r="U55" s="27">
        <v>862500</v>
      </c>
      <c r="V55" s="26">
        <v>0</v>
      </c>
      <c r="W55" s="27">
        <f t="shared" si="26"/>
        <v>0</v>
      </c>
      <c r="X55" s="27">
        <v>862500</v>
      </c>
      <c r="Y55" s="26">
        <v>0</v>
      </c>
      <c r="Z55" s="27">
        <f t="shared" si="27"/>
        <v>0</v>
      </c>
      <c r="AA55" s="27">
        <v>862500</v>
      </c>
      <c r="AB55" s="26">
        <v>0</v>
      </c>
      <c r="AC55" s="27">
        <f t="shared" si="28"/>
        <v>0</v>
      </c>
      <c r="AD55" s="27">
        <v>862500</v>
      </c>
      <c r="AE55" s="26">
        <v>0</v>
      </c>
      <c r="AF55" s="27">
        <f t="shared" si="29"/>
        <v>0</v>
      </c>
    </row>
    <row r="56" spans="2:32" ht="17.25">
      <c r="B56" s="26" t="s">
        <v>239</v>
      </c>
      <c r="C56" s="27">
        <v>300000</v>
      </c>
      <c r="D56" s="26">
        <v>0</v>
      </c>
      <c r="E56" s="27">
        <f t="shared" si="21"/>
        <v>0</v>
      </c>
      <c r="F56" s="27">
        <v>300000</v>
      </c>
      <c r="G56" s="26">
        <v>0</v>
      </c>
      <c r="H56" s="27">
        <f t="shared" si="22"/>
        <v>0</v>
      </c>
      <c r="I56" s="27">
        <v>300000</v>
      </c>
      <c r="J56" s="26">
        <v>0</v>
      </c>
      <c r="K56" s="27">
        <f t="shared" si="23"/>
        <v>0</v>
      </c>
      <c r="L56" s="27">
        <v>420000</v>
      </c>
      <c r="M56" s="26">
        <v>0</v>
      </c>
      <c r="N56" s="27">
        <f t="shared" si="24"/>
        <v>0</v>
      </c>
      <c r="O56" s="97"/>
      <c r="P56" s="97"/>
      <c r="Q56" s="26" t="s">
        <v>239</v>
      </c>
      <c r="R56" s="27">
        <v>300000</v>
      </c>
      <c r="S56" s="26">
        <v>0</v>
      </c>
      <c r="T56" s="27">
        <f t="shared" si="25"/>
        <v>0</v>
      </c>
      <c r="U56" s="27">
        <v>300000</v>
      </c>
      <c r="V56" s="26">
        <v>0</v>
      </c>
      <c r="W56" s="27">
        <f t="shared" si="26"/>
        <v>0</v>
      </c>
      <c r="X56" s="27">
        <v>300000</v>
      </c>
      <c r="Y56" s="26">
        <v>0</v>
      </c>
      <c r="Z56" s="27">
        <f t="shared" si="27"/>
        <v>0</v>
      </c>
      <c r="AA56" s="27">
        <v>300000</v>
      </c>
      <c r="AB56" s="26">
        <v>0</v>
      </c>
      <c r="AC56" s="27">
        <f t="shared" si="28"/>
        <v>0</v>
      </c>
      <c r="AD56" s="27">
        <v>300000</v>
      </c>
      <c r="AE56" s="26">
        <v>0</v>
      </c>
      <c r="AF56" s="27">
        <f t="shared" si="29"/>
        <v>0</v>
      </c>
    </row>
    <row r="57" spans="2:32" ht="17.25">
      <c r="B57" s="26" t="s">
        <v>240</v>
      </c>
      <c r="C57" s="27">
        <v>200000</v>
      </c>
      <c r="D57" s="26">
        <v>0</v>
      </c>
      <c r="E57" s="27">
        <f t="shared" si="21"/>
        <v>0</v>
      </c>
      <c r="F57" s="27">
        <v>200000</v>
      </c>
      <c r="G57" s="26">
        <v>0</v>
      </c>
      <c r="H57" s="27">
        <f t="shared" si="22"/>
        <v>0</v>
      </c>
      <c r="I57" s="27">
        <v>200000</v>
      </c>
      <c r="J57" s="26">
        <v>0</v>
      </c>
      <c r="K57" s="27">
        <f t="shared" si="23"/>
        <v>0</v>
      </c>
      <c r="L57" s="27">
        <v>315000</v>
      </c>
      <c r="M57" s="26">
        <v>0</v>
      </c>
      <c r="N57" s="27">
        <f t="shared" si="24"/>
        <v>0</v>
      </c>
      <c r="O57" s="97"/>
      <c r="P57" s="97"/>
      <c r="Q57" s="26" t="s">
        <v>240</v>
      </c>
      <c r="R57" s="27">
        <v>200000</v>
      </c>
      <c r="S57" s="26">
        <v>0</v>
      </c>
      <c r="T57" s="27">
        <f t="shared" si="25"/>
        <v>0</v>
      </c>
      <c r="U57" s="27">
        <v>200000</v>
      </c>
      <c r="V57" s="26">
        <v>0</v>
      </c>
      <c r="W57" s="27">
        <f t="shared" si="26"/>
        <v>0</v>
      </c>
      <c r="X57" s="27">
        <v>200000</v>
      </c>
      <c r="Y57" s="26">
        <v>0</v>
      </c>
      <c r="Z57" s="27">
        <f t="shared" si="27"/>
        <v>0</v>
      </c>
      <c r="AA57" s="27">
        <v>200000</v>
      </c>
      <c r="AB57" s="26">
        <v>0</v>
      </c>
      <c r="AC57" s="27">
        <f t="shared" si="28"/>
        <v>0</v>
      </c>
      <c r="AD57" s="27">
        <v>200000</v>
      </c>
      <c r="AE57" s="26">
        <v>0</v>
      </c>
      <c r="AF57" s="27">
        <f t="shared" si="29"/>
        <v>0</v>
      </c>
    </row>
    <row r="58" spans="2:32" ht="17.25">
      <c r="B58" s="26" t="s">
        <v>241</v>
      </c>
      <c r="C58" s="27">
        <v>202620</v>
      </c>
      <c r="D58" s="26">
        <v>0</v>
      </c>
      <c r="E58" s="27">
        <f t="shared" si="21"/>
        <v>0</v>
      </c>
      <c r="F58" s="27">
        <v>202620</v>
      </c>
      <c r="G58" s="26">
        <v>0</v>
      </c>
      <c r="H58" s="27">
        <f t="shared" si="22"/>
        <v>0</v>
      </c>
      <c r="I58" s="27">
        <v>202620</v>
      </c>
      <c r="J58" s="26">
        <v>0</v>
      </c>
      <c r="K58" s="27">
        <f t="shared" si="23"/>
        <v>0</v>
      </c>
      <c r="L58" s="27">
        <v>202620</v>
      </c>
      <c r="M58" s="27">
        <v>0</v>
      </c>
      <c r="N58" s="27">
        <f t="shared" si="24"/>
        <v>0</v>
      </c>
      <c r="O58" s="97"/>
      <c r="P58" s="97"/>
      <c r="Q58" s="26" t="s">
        <v>241</v>
      </c>
      <c r="R58" s="27">
        <v>202620</v>
      </c>
      <c r="S58" s="26">
        <v>0</v>
      </c>
      <c r="T58" s="27">
        <f t="shared" si="25"/>
        <v>0</v>
      </c>
      <c r="U58" s="27">
        <v>202620</v>
      </c>
      <c r="V58" s="26">
        <v>0</v>
      </c>
      <c r="W58" s="27">
        <f t="shared" si="26"/>
        <v>0</v>
      </c>
      <c r="X58" s="27">
        <v>202620</v>
      </c>
      <c r="Y58" s="26">
        <v>0</v>
      </c>
      <c r="Z58" s="27">
        <f t="shared" si="27"/>
        <v>0</v>
      </c>
      <c r="AA58" s="27">
        <v>202620</v>
      </c>
      <c r="AB58" s="27">
        <v>0</v>
      </c>
      <c r="AC58" s="27">
        <f t="shared" si="28"/>
        <v>0</v>
      </c>
      <c r="AD58" s="27">
        <v>202620</v>
      </c>
      <c r="AE58" s="26">
        <v>0</v>
      </c>
      <c r="AF58" s="27">
        <f t="shared" si="29"/>
        <v>0</v>
      </c>
    </row>
    <row r="59" spans="2:32" ht="17.25">
      <c r="B59" s="102"/>
      <c r="C59" s="102"/>
      <c r="D59" s="100" t="s">
        <v>48</v>
      </c>
      <c r="E59" s="103">
        <f>SUM(E50:E58)</f>
        <v>322478034</v>
      </c>
      <c r="F59" s="102"/>
      <c r="G59" s="100" t="s">
        <v>48</v>
      </c>
      <c r="H59" s="109">
        <f>SUM(H50:H58)</f>
        <v>235491398</v>
      </c>
      <c r="I59" s="102"/>
      <c r="J59" s="100" t="s">
        <v>48</v>
      </c>
      <c r="K59" s="103">
        <f>SUM(K50:K58)</f>
        <v>233541397.99999997</v>
      </c>
      <c r="L59" s="27"/>
      <c r="M59" s="100" t="s">
        <v>48</v>
      </c>
      <c r="N59" s="103">
        <f>SUM(N50:N58)</f>
        <v>40261153.968254</v>
      </c>
      <c r="O59" s="97"/>
      <c r="P59" s="97"/>
      <c r="Q59" s="102"/>
      <c r="R59" s="102"/>
      <c r="S59" s="100" t="s">
        <v>48</v>
      </c>
      <c r="T59" s="103">
        <f>SUM(T50:T58)</f>
        <v>322478034</v>
      </c>
      <c r="U59" s="102"/>
      <c r="V59" s="100" t="s">
        <v>48</v>
      </c>
      <c r="W59" s="112">
        <f>SUM(W50:W58)</f>
        <v>235491398</v>
      </c>
      <c r="X59" s="102"/>
      <c r="Y59" s="100" t="s">
        <v>48</v>
      </c>
      <c r="Z59" s="103">
        <f>SUM(Z50:Z58)</f>
        <v>233541397.99999997</v>
      </c>
      <c r="AA59" s="27"/>
      <c r="AB59" s="100" t="s">
        <v>48</v>
      </c>
      <c r="AC59" s="103">
        <f>SUM(AC50:AC58)</f>
        <v>40261153.968254</v>
      </c>
      <c r="AD59" s="102"/>
      <c r="AE59" s="100"/>
      <c r="AF59" s="103">
        <f>SUM(AF50:AF58)</f>
        <v>34060914</v>
      </c>
    </row>
    <row r="60" spans="2:32" ht="17.25">
      <c r="B60" s="97"/>
      <c r="C60" s="97"/>
      <c r="D60" s="97"/>
      <c r="E60" s="97"/>
      <c r="F60" s="97"/>
      <c r="G60" s="97"/>
      <c r="H60" s="97"/>
      <c r="I60" s="97"/>
      <c r="J60" s="97"/>
      <c r="K60" s="110"/>
      <c r="L60" s="97"/>
      <c r="M60" s="110" t="s">
        <v>20</v>
      </c>
      <c r="N60" s="110">
        <f>+(E59+H59+K59+N59+AF59)/(D50+G50+J50+M50+AE50)</f>
        <v>32067885.109935332</v>
      </c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110"/>
      <c r="AA60" s="97"/>
      <c r="AB60" s="110" t="s">
        <v>20</v>
      </c>
      <c r="AC60" s="110">
        <f>(T59+W59+Z59+AC59+AF59)/27</f>
        <v>32067885.109935332</v>
      </c>
      <c r="AF60" s="113">
        <f>+AF59/23000</f>
        <v>1480.909304347826</v>
      </c>
    </row>
    <row r="61" spans="2:32" ht="17.25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F61" s="21"/>
    </row>
    <row r="62" spans="2:32" ht="17.25" hidden="1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</row>
    <row r="63" spans="2:32" ht="17.25" hidden="1">
      <c r="B63" s="370" t="s">
        <v>7</v>
      </c>
      <c r="C63" s="367" t="s">
        <v>10</v>
      </c>
      <c r="D63" s="368"/>
      <c r="E63" s="369"/>
      <c r="F63" s="367" t="s">
        <v>15</v>
      </c>
      <c r="G63" s="368"/>
      <c r="H63" s="369"/>
      <c r="I63" s="367" t="s">
        <v>17</v>
      </c>
      <c r="J63" s="368"/>
      <c r="K63" s="369"/>
      <c r="L63" s="105"/>
      <c r="M63" s="105"/>
      <c r="N63" s="105"/>
      <c r="O63" s="97"/>
      <c r="P63" s="97"/>
      <c r="Q63" s="370" t="s">
        <v>7</v>
      </c>
      <c r="R63" s="367" t="s">
        <v>10</v>
      </c>
      <c r="S63" s="368"/>
      <c r="T63" s="369"/>
      <c r="U63" s="367" t="s">
        <v>15</v>
      </c>
      <c r="V63" s="368"/>
      <c r="W63" s="369"/>
      <c r="X63" s="367"/>
      <c r="Y63" s="368"/>
      <c r="Z63" s="369"/>
      <c r="AA63" s="97"/>
      <c r="AB63" s="97"/>
      <c r="AC63" s="97"/>
    </row>
    <row r="64" spans="2:32" ht="17.25" hidden="1">
      <c r="B64" s="371"/>
      <c r="C64" s="99" t="s">
        <v>180</v>
      </c>
      <c r="D64" s="100" t="s">
        <v>41</v>
      </c>
      <c r="E64" s="100" t="s">
        <v>44</v>
      </c>
      <c r="F64" s="99" t="s">
        <v>180</v>
      </c>
      <c r="G64" s="100" t="s">
        <v>41</v>
      </c>
      <c r="H64" s="100" t="s">
        <v>44</v>
      </c>
      <c r="I64" s="99" t="s">
        <v>180</v>
      </c>
      <c r="J64" s="100" t="s">
        <v>41</v>
      </c>
      <c r="K64" s="100" t="s">
        <v>44</v>
      </c>
      <c r="L64" s="105"/>
      <c r="M64" s="105"/>
      <c r="N64" s="105"/>
      <c r="O64" s="97"/>
      <c r="P64" s="97"/>
      <c r="Q64" s="371"/>
      <c r="R64" s="99" t="s">
        <v>180</v>
      </c>
      <c r="S64" s="100" t="s">
        <v>41</v>
      </c>
      <c r="T64" s="100" t="s">
        <v>44</v>
      </c>
      <c r="U64" s="99" t="s">
        <v>180</v>
      </c>
      <c r="V64" s="100" t="s">
        <v>41</v>
      </c>
      <c r="W64" s="100" t="s">
        <v>44</v>
      </c>
      <c r="X64" s="99"/>
      <c r="Y64" s="100"/>
      <c r="Z64" s="100"/>
      <c r="AA64" s="97"/>
      <c r="AB64" s="97"/>
      <c r="AC64" s="97"/>
    </row>
    <row r="65" spans="2:32" ht="17.25" hidden="1">
      <c r="B65" s="26" t="s">
        <v>233</v>
      </c>
      <c r="C65" s="27"/>
      <c r="D65" s="26">
        <v>1</v>
      </c>
      <c r="E65" s="27">
        <f t="shared" ref="E65:E73" si="30">+C65*D65</f>
        <v>0</v>
      </c>
      <c r="F65" s="27"/>
      <c r="G65" s="26">
        <v>1</v>
      </c>
      <c r="H65" s="27">
        <f t="shared" ref="H65:H73" si="31">+F65*G65</f>
        <v>0</v>
      </c>
      <c r="I65" s="27"/>
      <c r="J65" s="26">
        <v>1</v>
      </c>
      <c r="K65" s="27">
        <f t="shared" ref="K65:K73" si="32">+I65*J65</f>
        <v>0</v>
      </c>
      <c r="L65" s="111"/>
      <c r="M65" s="111"/>
      <c r="N65" s="111"/>
      <c r="O65" s="97"/>
      <c r="P65" s="97"/>
      <c r="Q65" s="26" t="s">
        <v>233</v>
      </c>
      <c r="R65" s="27"/>
      <c r="S65" s="26">
        <v>1</v>
      </c>
      <c r="T65" s="27">
        <f t="shared" ref="T65:T73" si="33">+R65*S65</f>
        <v>0</v>
      </c>
      <c r="U65" s="27"/>
      <c r="V65" s="26">
        <v>1</v>
      </c>
      <c r="W65" s="27">
        <f t="shared" ref="W65:W73" si="34">+U65*V65</f>
        <v>0</v>
      </c>
      <c r="X65" s="27"/>
      <c r="Y65" s="26"/>
      <c r="Z65" s="27"/>
      <c r="AA65" s="97"/>
      <c r="AB65" s="97"/>
      <c r="AC65" s="97"/>
    </row>
    <row r="66" spans="2:32" ht="17.25" hidden="1">
      <c r="B66" s="26" t="s">
        <v>234</v>
      </c>
      <c r="C66" s="27"/>
      <c r="D66" s="26">
        <v>1</v>
      </c>
      <c r="E66" s="27">
        <f t="shared" si="30"/>
        <v>0</v>
      </c>
      <c r="F66" s="27"/>
      <c r="G66" s="26">
        <v>1</v>
      </c>
      <c r="H66" s="27">
        <f t="shared" si="31"/>
        <v>0</v>
      </c>
      <c r="I66" s="27"/>
      <c r="J66" s="26">
        <v>1</v>
      </c>
      <c r="K66" s="27">
        <f t="shared" si="32"/>
        <v>0</v>
      </c>
      <c r="L66" s="111"/>
      <c r="M66" s="111"/>
      <c r="N66" s="111"/>
      <c r="O66" s="97"/>
      <c r="P66" s="97"/>
      <c r="Q66" s="26" t="s">
        <v>234</v>
      </c>
      <c r="R66" s="27"/>
      <c r="S66" s="26">
        <v>1</v>
      </c>
      <c r="T66" s="27">
        <f t="shared" si="33"/>
        <v>0</v>
      </c>
      <c r="U66" s="27"/>
      <c r="V66" s="26">
        <v>1</v>
      </c>
      <c r="W66" s="27">
        <f t="shared" si="34"/>
        <v>0</v>
      </c>
      <c r="X66" s="27"/>
      <c r="Y66" s="26"/>
      <c r="Z66" s="27"/>
      <c r="AA66" s="97"/>
      <c r="AB66" s="97"/>
      <c r="AC66" s="97"/>
    </row>
    <row r="67" spans="2:32" ht="17.25" hidden="1">
      <c r="B67" s="26" t="s">
        <v>235</v>
      </c>
      <c r="C67" s="27"/>
      <c r="D67" s="26">
        <v>0</v>
      </c>
      <c r="E67" s="27">
        <f t="shared" si="30"/>
        <v>0</v>
      </c>
      <c r="F67" s="27"/>
      <c r="G67" s="26"/>
      <c r="H67" s="27">
        <f t="shared" si="31"/>
        <v>0</v>
      </c>
      <c r="I67" s="27"/>
      <c r="J67" s="26">
        <v>0</v>
      </c>
      <c r="K67" s="27">
        <f t="shared" si="32"/>
        <v>0</v>
      </c>
      <c r="L67" s="111"/>
      <c r="M67" s="111"/>
      <c r="N67" s="111"/>
      <c r="O67" s="97"/>
      <c r="P67" s="97"/>
      <c r="Q67" s="26" t="s">
        <v>235</v>
      </c>
      <c r="R67" s="27"/>
      <c r="S67" s="26">
        <v>0</v>
      </c>
      <c r="T67" s="27">
        <f t="shared" si="33"/>
        <v>0</v>
      </c>
      <c r="U67" s="27"/>
      <c r="V67" s="26"/>
      <c r="W67" s="27">
        <f t="shared" si="34"/>
        <v>0</v>
      </c>
      <c r="X67" s="27"/>
      <c r="Y67" s="26"/>
      <c r="Z67" s="27"/>
      <c r="AA67" s="97"/>
      <c r="AB67" s="97"/>
      <c r="AC67" s="97"/>
    </row>
    <row r="68" spans="2:32" ht="17.25" hidden="1">
      <c r="B68" s="26" t="s">
        <v>236</v>
      </c>
      <c r="C68" s="27"/>
      <c r="D68" s="26">
        <v>16</v>
      </c>
      <c r="E68" s="27">
        <f t="shared" si="30"/>
        <v>0</v>
      </c>
      <c r="F68" s="27"/>
      <c r="G68" s="26">
        <v>35</v>
      </c>
      <c r="H68" s="27">
        <f t="shared" si="31"/>
        <v>0</v>
      </c>
      <c r="I68" s="27"/>
      <c r="J68" s="26">
        <v>20</v>
      </c>
      <c r="K68" s="27">
        <f t="shared" si="32"/>
        <v>0</v>
      </c>
      <c r="L68" s="111"/>
      <c r="M68" s="111"/>
      <c r="N68" s="111"/>
      <c r="O68" s="97"/>
      <c r="P68" s="97"/>
      <c r="Q68" s="26" t="s">
        <v>236</v>
      </c>
      <c r="R68" s="27"/>
      <c r="S68" s="26">
        <v>16</v>
      </c>
      <c r="T68" s="27">
        <f t="shared" si="33"/>
        <v>0</v>
      </c>
      <c r="U68" s="27"/>
      <c r="V68" s="26">
        <v>35</v>
      </c>
      <c r="W68" s="27">
        <f t="shared" si="34"/>
        <v>0</v>
      </c>
      <c r="X68" s="27"/>
      <c r="Y68" s="26"/>
      <c r="Z68" s="27"/>
      <c r="AA68" s="97"/>
      <c r="AB68" s="97"/>
      <c r="AC68" s="97"/>
    </row>
    <row r="69" spans="2:32" ht="17.25" hidden="1">
      <c r="B69" s="26" t="s">
        <v>237</v>
      </c>
      <c r="C69" s="27"/>
      <c r="D69" s="26">
        <v>0.3</v>
      </c>
      <c r="E69" s="27">
        <f t="shared" si="30"/>
        <v>0</v>
      </c>
      <c r="F69" s="27"/>
      <c r="G69" s="26">
        <v>0.5</v>
      </c>
      <c r="H69" s="27">
        <f t="shared" si="31"/>
        <v>0</v>
      </c>
      <c r="I69" s="27"/>
      <c r="J69" s="26">
        <v>0.3</v>
      </c>
      <c r="K69" s="27">
        <f t="shared" si="32"/>
        <v>0</v>
      </c>
      <c r="L69" s="111"/>
      <c r="M69" s="111"/>
      <c r="N69" s="111"/>
      <c r="O69" s="97"/>
      <c r="P69" s="97"/>
      <c r="Q69" s="26" t="s">
        <v>237</v>
      </c>
      <c r="R69" s="27"/>
      <c r="S69" s="26">
        <v>0.3</v>
      </c>
      <c r="T69" s="27">
        <f t="shared" si="33"/>
        <v>0</v>
      </c>
      <c r="U69" s="27"/>
      <c r="V69" s="26">
        <v>0.5</v>
      </c>
      <c r="W69" s="27">
        <f t="shared" si="34"/>
        <v>0</v>
      </c>
      <c r="X69" s="27"/>
      <c r="Y69" s="26"/>
      <c r="Z69" s="27"/>
      <c r="AA69" s="97"/>
      <c r="AB69" s="97"/>
      <c r="AC69" s="97"/>
    </row>
    <row r="70" spans="2:32" ht="17.25" hidden="1">
      <c r="B70" s="26" t="s">
        <v>238</v>
      </c>
      <c r="C70" s="27"/>
      <c r="D70" s="26">
        <v>0</v>
      </c>
      <c r="E70" s="27">
        <f t="shared" si="30"/>
        <v>0</v>
      </c>
      <c r="F70" s="27"/>
      <c r="G70" s="26">
        <v>0</v>
      </c>
      <c r="H70" s="27">
        <f t="shared" si="31"/>
        <v>0</v>
      </c>
      <c r="I70" s="27"/>
      <c r="J70" s="26">
        <v>0</v>
      </c>
      <c r="K70" s="27">
        <f t="shared" si="32"/>
        <v>0</v>
      </c>
      <c r="L70" s="111"/>
      <c r="M70" s="111"/>
      <c r="N70" s="111"/>
      <c r="O70" s="97"/>
      <c r="P70" s="97"/>
      <c r="Q70" s="26" t="s">
        <v>238</v>
      </c>
      <c r="R70" s="27"/>
      <c r="S70" s="26">
        <v>0</v>
      </c>
      <c r="T70" s="27">
        <f t="shared" si="33"/>
        <v>0</v>
      </c>
      <c r="U70" s="27"/>
      <c r="V70" s="26">
        <v>0</v>
      </c>
      <c r="W70" s="27">
        <f t="shared" si="34"/>
        <v>0</v>
      </c>
      <c r="X70" s="27"/>
      <c r="Y70" s="26"/>
      <c r="Z70" s="27"/>
      <c r="AA70" s="97"/>
      <c r="AB70" s="97"/>
      <c r="AC70" s="97"/>
    </row>
    <row r="71" spans="2:32" ht="17.25" hidden="1">
      <c r="B71" s="26" t="s">
        <v>239</v>
      </c>
      <c r="C71" s="27"/>
      <c r="D71" s="26">
        <v>0</v>
      </c>
      <c r="E71" s="27">
        <f t="shared" si="30"/>
        <v>0</v>
      </c>
      <c r="F71" s="27"/>
      <c r="G71" s="26">
        <v>0</v>
      </c>
      <c r="H71" s="27">
        <f t="shared" si="31"/>
        <v>0</v>
      </c>
      <c r="I71" s="27"/>
      <c r="J71" s="26">
        <v>0</v>
      </c>
      <c r="K71" s="27">
        <f t="shared" si="32"/>
        <v>0</v>
      </c>
      <c r="L71" s="111"/>
      <c r="M71" s="111"/>
      <c r="N71" s="111"/>
      <c r="O71" s="97"/>
      <c r="P71" s="97"/>
      <c r="Q71" s="26" t="s">
        <v>239</v>
      </c>
      <c r="R71" s="27"/>
      <c r="S71" s="26">
        <v>0</v>
      </c>
      <c r="T71" s="27">
        <f t="shared" si="33"/>
        <v>0</v>
      </c>
      <c r="U71" s="27"/>
      <c r="V71" s="26">
        <v>0</v>
      </c>
      <c r="W71" s="27">
        <f t="shared" si="34"/>
        <v>0</v>
      </c>
      <c r="X71" s="27"/>
      <c r="Y71" s="26"/>
      <c r="Z71" s="27"/>
      <c r="AA71" s="97"/>
      <c r="AB71" s="97"/>
      <c r="AC71" s="97"/>
    </row>
    <row r="72" spans="2:32" ht="17.25" hidden="1">
      <c r="B72" s="26" t="s">
        <v>240</v>
      </c>
      <c r="C72" s="27"/>
      <c r="D72" s="26">
        <v>0</v>
      </c>
      <c r="E72" s="27">
        <f t="shared" si="30"/>
        <v>0</v>
      </c>
      <c r="F72" s="27"/>
      <c r="G72" s="26">
        <v>0</v>
      </c>
      <c r="H72" s="27">
        <f t="shared" si="31"/>
        <v>0</v>
      </c>
      <c r="I72" s="27"/>
      <c r="J72" s="26">
        <v>0</v>
      </c>
      <c r="K72" s="27">
        <f t="shared" si="32"/>
        <v>0</v>
      </c>
      <c r="L72" s="111"/>
      <c r="M72" s="111"/>
      <c r="N72" s="111"/>
      <c r="O72" s="97"/>
      <c r="P72" s="97"/>
      <c r="Q72" s="26" t="s">
        <v>240</v>
      </c>
      <c r="R72" s="27"/>
      <c r="S72" s="26">
        <v>0</v>
      </c>
      <c r="T72" s="27">
        <f t="shared" si="33"/>
        <v>0</v>
      </c>
      <c r="U72" s="27"/>
      <c r="V72" s="26">
        <v>0</v>
      </c>
      <c r="W72" s="27">
        <f t="shared" si="34"/>
        <v>0</v>
      </c>
      <c r="X72" s="27"/>
      <c r="Y72" s="26"/>
      <c r="Z72" s="27"/>
      <c r="AA72" s="97"/>
      <c r="AB72" s="97"/>
      <c r="AC72" s="97"/>
    </row>
    <row r="73" spans="2:32" ht="17.25" hidden="1">
      <c r="B73" s="26" t="s">
        <v>241</v>
      </c>
      <c r="C73" s="27"/>
      <c r="D73" s="26">
        <v>0</v>
      </c>
      <c r="E73" s="27">
        <f t="shared" si="30"/>
        <v>0</v>
      </c>
      <c r="F73" s="27"/>
      <c r="G73" s="26">
        <v>0</v>
      </c>
      <c r="H73" s="27">
        <f t="shared" si="31"/>
        <v>0</v>
      </c>
      <c r="I73" s="27"/>
      <c r="J73" s="26">
        <v>0</v>
      </c>
      <c r="K73" s="27">
        <f t="shared" si="32"/>
        <v>0</v>
      </c>
      <c r="L73" s="111"/>
      <c r="M73" s="111"/>
      <c r="N73" s="111"/>
      <c r="O73" s="97"/>
      <c r="P73" s="97"/>
      <c r="Q73" s="26" t="s">
        <v>241</v>
      </c>
      <c r="R73" s="27"/>
      <c r="S73" s="26">
        <v>0</v>
      </c>
      <c r="T73" s="27">
        <f t="shared" si="33"/>
        <v>0</v>
      </c>
      <c r="U73" s="27"/>
      <c r="V73" s="26">
        <v>0</v>
      </c>
      <c r="W73" s="27">
        <f t="shared" si="34"/>
        <v>0</v>
      </c>
      <c r="X73" s="27"/>
      <c r="Y73" s="26"/>
      <c r="Z73" s="27"/>
      <c r="AA73" s="97"/>
      <c r="AB73" s="97"/>
      <c r="AC73" s="97"/>
    </row>
    <row r="74" spans="2:32" ht="17.25" hidden="1">
      <c r="B74" s="102"/>
      <c r="C74" s="102"/>
      <c r="D74" s="100" t="s">
        <v>48</v>
      </c>
      <c r="E74" s="103">
        <f>SUM(E65:E73)</f>
        <v>0</v>
      </c>
      <c r="F74" s="103"/>
      <c r="G74" s="100" t="s">
        <v>48</v>
      </c>
      <c r="H74" s="103">
        <f>SUM(H65:H73)</f>
        <v>0</v>
      </c>
      <c r="I74" s="103"/>
      <c r="J74" s="100" t="s">
        <v>48</v>
      </c>
      <c r="K74" s="103">
        <f>SUM(K65:K73)</f>
        <v>0</v>
      </c>
      <c r="L74" s="106"/>
      <c r="M74" s="106"/>
      <c r="N74" s="106"/>
      <c r="O74" s="97"/>
      <c r="P74" s="97"/>
      <c r="Q74" s="102"/>
      <c r="R74" s="102"/>
      <c r="S74" s="100" t="s">
        <v>48</v>
      </c>
      <c r="T74" s="103">
        <f>SUM(T65:T73)</f>
        <v>0</v>
      </c>
      <c r="U74" s="102"/>
      <c r="V74" s="100" t="s">
        <v>48</v>
      </c>
      <c r="W74" s="112">
        <f>SUM(W65:W73)</f>
        <v>0</v>
      </c>
      <c r="X74" s="102"/>
      <c r="Y74" s="100"/>
      <c r="Z74" s="103"/>
      <c r="AA74" s="97"/>
      <c r="AB74" s="97"/>
      <c r="AC74" s="97"/>
    </row>
    <row r="75" spans="2:32" ht="17.25">
      <c r="B75" s="97"/>
      <c r="C75" s="97"/>
      <c r="D75" s="97"/>
      <c r="E75" s="114"/>
      <c r="F75" s="97"/>
      <c r="G75" s="97"/>
      <c r="H75" s="114"/>
      <c r="I75" s="97"/>
      <c r="J75" s="97"/>
      <c r="K75" s="114"/>
      <c r="L75" s="110"/>
      <c r="M75" s="110"/>
      <c r="N75" s="114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110"/>
      <c r="AA75" s="97"/>
      <c r="AB75" s="97"/>
      <c r="AC75" s="97"/>
      <c r="AF75" s="21"/>
    </row>
    <row r="76" spans="2:32" hidden="1"/>
    <row r="77" spans="2:32" hidden="1"/>
    <row r="78" spans="2:32" hidden="1">
      <c r="B78" s="6" t="s">
        <v>205</v>
      </c>
      <c r="C78" s="6" t="s">
        <v>96</v>
      </c>
      <c r="D78" s="268" t="s">
        <v>227</v>
      </c>
      <c r="E78" s="269"/>
      <c r="F78" s="3" t="s">
        <v>230</v>
      </c>
      <c r="G78" s="4"/>
    </row>
    <row r="79" spans="2:32" hidden="1">
      <c r="B79" s="7" t="s">
        <v>4</v>
      </c>
      <c r="C79" s="18">
        <f>K16</f>
        <v>221055500</v>
      </c>
      <c r="D79" s="360">
        <f>+K31</f>
        <v>0</v>
      </c>
      <c r="E79" s="372"/>
      <c r="F79" s="365">
        <f>+Z31</f>
        <v>0</v>
      </c>
      <c r="G79" s="366"/>
    </row>
    <row r="80" spans="2:32" hidden="1">
      <c r="B80" s="7" t="s">
        <v>5</v>
      </c>
      <c r="C80" s="7"/>
      <c r="D80" s="350">
        <f>+K46</f>
        <v>0</v>
      </c>
      <c r="E80" s="351"/>
      <c r="F80" s="365">
        <f>+Z46</f>
        <v>0</v>
      </c>
      <c r="G80" s="366"/>
    </row>
    <row r="81" spans="2:11" hidden="1">
      <c r="B81" s="7" t="s">
        <v>6</v>
      </c>
      <c r="C81" s="7"/>
      <c r="D81" s="348">
        <f>+K60</f>
        <v>0</v>
      </c>
      <c r="E81" s="349"/>
      <c r="F81" s="365">
        <f>+Z60</f>
        <v>0</v>
      </c>
      <c r="G81" s="366"/>
    </row>
    <row r="82" spans="2:11" hidden="1">
      <c r="B82" s="7" t="s">
        <v>7</v>
      </c>
      <c r="C82" s="7"/>
      <c r="D82" s="350">
        <f>+K75</f>
        <v>0</v>
      </c>
      <c r="E82" s="351"/>
      <c r="F82" s="365">
        <f>+Z75</f>
        <v>0</v>
      </c>
      <c r="G82" s="366"/>
    </row>
    <row r="83" spans="2:11" hidden="1">
      <c r="D83" s="356">
        <f>D81-C79</f>
        <v>-221055500</v>
      </c>
      <c r="E83" s="357"/>
    </row>
    <row r="84" spans="2:11" hidden="1"/>
    <row r="93" spans="2:11">
      <c r="I93" s="268" t="s">
        <v>294</v>
      </c>
      <c r="J93" s="347"/>
      <c r="K93" s="269"/>
    </row>
    <row r="94" spans="2:11">
      <c r="I94" s="5" t="s">
        <v>180</v>
      </c>
      <c r="J94" s="6" t="s">
        <v>41</v>
      </c>
      <c r="K94" s="6" t="s">
        <v>44</v>
      </c>
    </row>
    <row r="95" spans="2:11">
      <c r="H95" s="7" t="s">
        <v>233</v>
      </c>
      <c r="I95" s="8">
        <v>23273254</v>
      </c>
      <c r="J95" s="7">
        <v>1</v>
      </c>
      <c r="K95" s="8">
        <f t="shared" ref="K95:K103" si="35">+I95*J95</f>
        <v>23273254</v>
      </c>
    </row>
    <row r="96" spans="2:11">
      <c r="H96" s="7" t="s">
        <v>234</v>
      </c>
      <c r="I96" s="8">
        <v>8712660</v>
      </c>
      <c r="J96" s="7">
        <v>1</v>
      </c>
      <c r="K96" s="8">
        <f t="shared" si="35"/>
        <v>8712660</v>
      </c>
    </row>
    <row r="97" spans="8:11">
      <c r="H97" s="7" t="s">
        <v>235</v>
      </c>
      <c r="I97" s="8">
        <v>6000</v>
      </c>
      <c r="J97" s="8">
        <v>0</v>
      </c>
      <c r="K97" s="8">
        <f t="shared" si="35"/>
        <v>0</v>
      </c>
    </row>
    <row r="98" spans="8:11">
      <c r="H98" s="7" t="s">
        <v>236</v>
      </c>
      <c r="I98" s="8">
        <v>60000</v>
      </c>
      <c r="J98" s="7">
        <v>14</v>
      </c>
      <c r="K98" s="8">
        <f t="shared" si="35"/>
        <v>840000</v>
      </c>
    </row>
    <row r="99" spans="8:11">
      <c r="H99" s="7" t="s">
        <v>237</v>
      </c>
      <c r="I99" s="8">
        <v>1150000</v>
      </c>
      <c r="J99" s="7">
        <v>0.5</v>
      </c>
      <c r="K99" s="8">
        <f t="shared" si="35"/>
        <v>575000</v>
      </c>
    </row>
    <row r="100" spans="8:11">
      <c r="H100" s="7" t="s">
        <v>238</v>
      </c>
      <c r="I100" s="8">
        <v>862500</v>
      </c>
      <c r="J100" s="7">
        <v>0</v>
      </c>
      <c r="K100" s="8">
        <f t="shared" si="35"/>
        <v>0</v>
      </c>
    </row>
    <row r="101" spans="8:11">
      <c r="H101" s="7" t="s">
        <v>239</v>
      </c>
      <c r="I101" s="8">
        <v>300000</v>
      </c>
      <c r="J101" s="7">
        <v>0</v>
      </c>
      <c r="K101" s="8">
        <f t="shared" si="35"/>
        <v>0</v>
      </c>
    </row>
    <row r="102" spans="8:11">
      <c r="H102" s="7" t="s">
        <v>240</v>
      </c>
      <c r="I102" s="8">
        <v>200000</v>
      </c>
      <c r="J102" s="7">
        <v>0</v>
      </c>
      <c r="K102" s="8">
        <f t="shared" si="35"/>
        <v>0</v>
      </c>
    </row>
    <row r="103" spans="8:11">
      <c r="H103" s="7" t="s">
        <v>241</v>
      </c>
      <c r="I103" s="8">
        <v>202620</v>
      </c>
      <c r="J103" s="7">
        <v>0</v>
      </c>
      <c r="K103" s="8">
        <f t="shared" si="35"/>
        <v>0</v>
      </c>
    </row>
    <row r="104" spans="8:11">
      <c r="I104" s="9"/>
      <c r="J104" s="6"/>
      <c r="K104" s="10">
        <f>SUM(K95:K103)</f>
        <v>33400914</v>
      </c>
    </row>
  </sheetData>
  <mergeCells count="57">
    <mergeCell ref="I93:K93"/>
    <mergeCell ref="B4:B5"/>
    <mergeCell ref="B19:B20"/>
    <mergeCell ref="B34:B35"/>
    <mergeCell ref="B48:B49"/>
    <mergeCell ref="B63:B64"/>
    <mergeCell ref="D81:E81"/>
    <mergeCell ref="F81:G81"/>
    <mergeCell ref="D82:E82"/>
    <mergeCell ref="F82:G82"/>
    <mergeCell ref="D83:E83"/>
    <mergeCell ref="D78:E78"/>
    <mergeCell ref="D79:E79"/>
    <mergeCell ref="F79:G79"/>
    <mergeCell ref="D80:E80"/>
    <mergeCell ref="F80:G80"/>
    <mergeCell ref="AD48:AF48"/>
    <mergeCell ref="C63:E63"/>
    <mergeCell ref="F63:H63"/>
    <mergeCell ref="I63:K63"/>
    <mergeCell ref="R63:T63"/>
    <mergeCell ref="U63:W63"/>
    <mergeCell ref="X63:Z63"/>
    <mergeCell ref="Q48:Q49"/>
    <mergeCell ref="Q63:Q64"/>
    <mergeCell ref="C48:E48"/>
    <mergeCell ref="F48:H48"/>
    <mergeCell ref="I48:K48"/>
    <mergeCell ref="L48:N48"/>
    <mergeCell ref="R48:T48"/>
    <mergeCell ref="U48:W48"/>
    <mergeCell ref="X48:Z48"/>
    <mergeCell ref="AA19:AC19"/>
    <mergeCell ref="C34:E34"/>
    <mergeCell ref="F34:H34"/>
    <mergeCell ref="I34:K34"/>
    <mergeCell ref="R34:T34"/>
    <mergeCell ref="U34:W34"/>
    <mergeCell ref="X34:Z34"/>
    <mergeCell ref="Q19:Q20"/>
    <mergeCell ref="Q34:Q35"/>
    <mergeCell ref="AA48:AC48"/>
    <mergeCell ref="U4:W4"/>
    <mergeCell ref="X4:Z4"/>
    <mergeCell ref="C19:E19"/>
    <mergeCell ref="F19:H19"/>
    <mergeCell ref="I19:K19"/>
    <mergeCell ref="L19:N19"/>
    <mergeCell ref="R19:T19"/>
    <mergeCell ref="U19:W19"/>
    <mergeCell ref="X19:Z19"/>
    <mergeCell ref="Q4:Q5"/>
    <mergeCell ref="C4:E4"/>
    <mergeCell ref="F4:H4"/>
    <mergeCell ref="I4:K4"/>
    <mergeCell ref="L4:N4"/>
    <mergeCell ref="R4:T4"/>
  </mergeCells>
  <pageMargins left="0.7" right="0.7" top="0.75" bottom="0.75" header="0.3" footer="0.3"/>
  <pageSetup paperSize="9" scale="34" fitToHeight="0" orientation="landscape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K168"/>
  <sheetViews>
    <sheetView showGridLines="0" topLeftCell="J67" zoomScale="85" zoomScaleNormal="85" workbookViewId="0">
      <selection activeCell="N75" sqref="N75"/>
    </sheetView>
  </sheetViews>
  <sheetFormatPr defaultColWidth="9" defaultRowHeight="15.75"/>
  <cols>
    <col min="1" max="1" width="9" style="29"/>
    <col min="2" max="2" width="37" style="29" customWidth="1"/>
    <col min="3" max="3" width="14.5703125" style="29" customWidth="1"/>
    <col min="4" max="4" width="8.85546875" style="29" customWidth="1"/>
    <col min="5" max="5" width="15.7109375" style="29" customWidth="1"/>
    <col min="6" max="6" width="14.5703125" style="29" customWidth="1"/>
    <col min="7" max="7" width="8" style="29" customWidth="1"/>
    <col min="8" max="8" width="15.7109375" style="29" customWidth="1"/>
    <col min="9" max="9" width="14.5703125" style="29" customWidth="1"/>
    <col min="10" max="10" width="8.28515625" style="29" customWidth="1"/>
    <col min="11" max="11" width="15.7109375" style="29" customWidth="1"/>
    <col min="12" max="12" width="15.28515625" style="29" customWidth="1"/>
    <col min="13" max="13" width="9.140625" style="29" customWidth="1"/>
    <col min="14" max="14" width="26.42578125" style="29" customWidth="1"/>
    <col min="15" max="15" width="14.5703125" style="29" customWidth="1"/>
    <col min="16" max="16" width="8.85546875" style="29" customWidth="1"/>
    <col min="17" max="17" width="15.7109375" style="29" customWidth="1"/>
    <col min="18" max="18" width="14.5703125" style="29" customWidth="1"/>
    <col min="19" max="19" width="8" style="29" customWidth="1"/>
    <col min="20" max="20" width="17.28515625" style="29" customWidth="1"/>
    <col min="21" max="21" width="14.5703125" style="29" customWidth="1"/>
    <col min="22" max="22" width="13.140625" style="29" customWidth="1"/>
    <col min="23" max="23" width="15.7109375" style="29" customWidth="1"/>
    <col min="24" max="24" width="13" style="29" customWidth="1"/>
    <col min="25" max="25" width="26.42578125" style="29" customWidth="1"/>
    <col min="26" max="26" width="14.5703125" style="29" hidden="1" customWidth="1"/>
    <col min="27" max="27" width="8.85546875" style="29" hidden="1" customWidth="1"/>
    <col min="28" max="28" width="15.7109375" style="29" hidden="1" customWidth="1"/>
    <col min="29" max="29" width="14.5703125" style="29" customWidth="1"/>
    <col min="30" max="30" width="11.7109375" style="29" customWidth="1"/>
    <col min="31" max="31" width="17.28515625" style="29" customWidth="1"/>
    <col min="32" max="32" width="14.5703125" style="29" customWidth="1"/>
    <col min="33" max="33" width="13.140625" style="29" customWidth="1"/>
    <col min="34" max="34" width="15.7109375" style="29" customWidth="1"/>
    <col min="35" max="35" width="14.5703125" style="29" customWidth="1"/>
    <col min="36" max="36" width="9" style="29"/>
    <col min="37" max="37" width="13.5703125" style="29" customWidth="1"/>
    <col min="38" max="16384" width="9" style="29"/>
  </cols>
  <sheetData>
    <row r="2" spans="2:34">
      <c r="B2" s="29" t="s">
        <v>295</v>
      </c>
    </row>
    <row r="3" spans="2:34">
      <c r="B3" s="2" t="s">
        <v>227</v>
      </c>
      <c r="C3" s="29" t="s">
        <v>296</v>
      </c>
      <c r="F3" s="29" t="s">
        <v>297</v>
      </c>
      <c r="I3" s="29" t="s">
        <v>298</v>
      </c>
      <c r="N3" s="2" t="s">
        <v>230</v>
      </c>
      <c r="Y3" s="73"/>
      <c r="Z3" s="73"/>
      <c r="AA3" s="73"/>
      <c r="AB3" s="73"/>
      <c r="AC3" s="73"/>
      <c r="AD3" s="73"/>
      <c r="AE3" s="73"/>
      <c r="AF3" s="73"/>
      <c r="AG3" s="73"/>
      <c r="AH3" s="73"/>
    </row>
    <row r="4" spans="2:34">
      <c r="B4" s="379" t="s">
        <v>299</v>
      </c>
      <c r="C4" s="330" t="s">
        <v>10</v>
      </c>
      <c r="D4" s="331"/>
      <c r="E4" s="332"/>
      <c r="F4" s="330" t="s">
        <v>15</v>
      </c>
      <c r="G4" s="331"/>
      <c r="H4" s="332"/>
      <c r="I4" s="330" t="s">
        <v>17</v>
      </c>
      <c r="J4" s="331"/>
      <c r="K4" s="332"/>
      <c r="N4" s="375" t="s">
        <v>300</v>
      </c>
      <c r="O4" s="330" t="s">
        <v>10</v>
      </c>
      <c r="P4" s="331"/>
      <c r="Q4" s="332"/>
      <c r="R4" s="330" t="s">
        <v>15</v>
      </c>
      <c r="S4" s="331"/>
      <c r="T4" s="332"/>
      <c r="U4" s="330" t="s">
        <v>17</v>
      </c>
      <c r="V4" s="331"/>
      <c r="W4" s="332"/>
      <c r="Y4" s="374"/>
      <c r="Z4" s="373"/>
      <c r="AA4" s="373"/>
      <c r="AB4" s="373"/>
      <c r="AC4" s="373"/>
      <c r="AD4" s="373"/>
      <c r="AE4" s="373"/>
      <c r="AF4" s="373"/>
      <c r="AG4" s="373"/>
      <c r="AH4" s="373"/>
    </row>
    <row r="5" spans="2:34">
      <c r="B5" s="380"/>
      <c r="C5" s="30" t="s">
        <v>180</v>
      </c>
      <c r="D5" s="31" t="s">
        <v>41</v>
      </c>
      <c r="E5" s="31" t="s">
        <v>44</v>
      </c>
      <c r="F5" s="30" t="s">
        <v>180</v>
      </c>
      <c r="G5" s="31" t="s">
        <v>41</v>
      </c>
      <c r="H5" s="31" t="s">
        <v>44</v>
      </c>
      <c r="I5" s="30" t="s">
        <v>180</v>
      </c>
      <c r="J5" s="31" t="s">
        <v>41</v>
      </c>
      <c r="K5" s="31" t="s">
        <v>44</v>
      </c>
      <c r="N5" s="376"/>
      <c r="O5" s="30" t="s">
        <v>180</v>
      </c>
      <c r="P5" s="31" t="s">
        <v>41</v>
      </c>
      <c r="Q5" s="31" t="s">
        <v>44</v>
      </c>
      <c r="R5" s="30" t="s">
        <v>180</v>
      </c>
      <c r="S5" s="31" t="s">
        <v>41</v>
      </c>
      <c r="T5" s="31" t="s">
        <v>44</v>
      </c>
      <c r="U5" s="30" t="s">
        <v>180</v>
      </c>
      <c r="V5" s="31" t="s">
        <v>41</v>
      </c>
      <c r="W5" s="31" t="s">
        <v>44</v>
      </c>
      <c r="Y5" s="374"/>
      <c r="Z5" s="75"/>
      <c r="AA5" s="74"/>
      <c r="AB5" s="74"/>
      <c r="AC5" s="75"/>
      <c r="AD5" s="74"/>
      <c r="AE5" s="74"/>
      <c r="AF5" s="75"/>
      <c r="AG5" s="74"/>
      <c r="AH5" s="74"/>
    </row>
    <row r="6" spans="2:34">
      <c r="B6" s="32" t="s">
        <v>233</v>
      </c>
      <c r="C6" s="33">
        <v>578120000</v>
      </c>
      <c r="D6" s="32">
        <v>1</v>
      </c>
      <c r="E6" s="33">
        <f t="shared" ref="E6:E14" si="0">+C6*D6</f>
        <v>578120000</v>
      </c>
      <c r="F6" s="33">
        <v>630240000</v>
      </c>
      <c r="G6" s="32">
        <v>1</v>
      </c>
      <c r="H6" s="33">
        <f t="shared" ref="H6:H14" si="1">+F6*G6</f>
        <v>630240000</v>
      </c>
      <c r="I6" s="33">
        <v>194600000</v>
      </c>
      <c r="J6" s="32">
        <v>1</v>
      </c>
      <c r="K6" s="33">
        <f t="shared" ref="K6:K14" si="2">+I6*J6</f>
        <v>194600000</v>
      </c>
      <c r="N6" s="32" t="s">
        <v>233</v>
      </c>
      <c r="O6" s="33">
        <v>347600000</v>
      </c>
      <c r="P6" s="32">
        <v>1</v>
      </c>
      <c r="Q6" s="33">
        <f t="shared" ref="Q6:Q14" si="3">+O6*P6</f>
        <v>347600000</v>
      </c>
      <c r="R6" s="33">
        <v>259240000</v>
      </c>
      <c r="S6" s="32">
        <v>1</v>
      </c>
      <c r="T6" s="33">
        <f t="shared" ref="T6:T14" si="4">+R6*S6</f>
        <v>259240000</v>
      </c>
      <c r="U6" s="33">
        <v>74440000</v>
      </c>
      <c r="V6" s="32">
        <v>1</v>
      </c>
      <c r="W6" s="33">
        <f t="shared" ref="W6:W14" si="5">+U6*V6</f>
        <v>74440000</v>
      </c>
      <c r="Y6" s="73"/>
      <c r="Z6" s="37"/>
      <c r="AA6" s="73"/>
      <c r="AB6" s="37"/>
      <c r="AC6" s="37"/>
      <c r="AD6" s="73"/>
      <c r="AE6" s="37"/>
      <c r="AF6" s="37"/>
      <c r="AG6" s="73"/>
      <c r="AH6" s="37"/>
    </row>
    <row r="7" spans="2:34">
      <c r="B7" s="32" t="s">
        <v>234</v>
      </c>
      <c r="C7" s="33">
        <v>179570093</v>
      </c>
      <c r="D7" s="32">
        <v>1</v>
      </c>
      <c r="E7" s="33">
        <f t="shared" si="0"/>
        <v>179570093</v>
      </c>
      <c r="F7" s="33">
        <v>254238552</v>
      </c>
      <c r="G7" s="32">
        <v>1</v>
      </c>
      <c r="H7" s="33">
        <f t="shared" si="1"/>
        <v>254238552</v>
      </c>
      <c r="I7" s="33">
        <v>67589568</v>
      </c>
      <c r="J7" s="32">
        <v>1</v>
      </c>
      <c r="K7" s="33">
        <f t="shared" si="2"/>
        <v>67589568</v>
      </c>
      <c r="N7" s="32" t="s">
        <v>234</v>
      </c>
      <c r="O7" s="33">
        <v>96989549</v>
      </c>
      <c r="P7" s="32">
        <v>1</v>
      </c>
      <c r="Q7" s="33">
        <f t="shared" si="3"/>
        <v>96989549</v>
      </c>
      <c r="R7" s="33">
        <v>90580536</v>
      </c>
      <c r="S7" s="32">
        <v>1</v>
      </c>
      <c r="T7" s="33">
        <f t="shared" si="4"/>
        <v>90580536</v>
      </c>
      <c r="U7" s="33">
        <v>19668096</v>
      </c>
      <c r="V7" s="32">
        <v>1</v>
      </c>
      <c r="W7" s="33">
        <f t="shared" si="5"/>
        <v>19668096</v>
      </c>
      <c r="Y7" s="73"/>
      <c r="Z7" s="37"/>
      <c r="AA7" s="73"/>
      <c r="AB7" s="37"/>
      <c r="AC7" s="37"/>
      <c r="AD7" s="73"/>
      <c r="AE7" s="37"/>
      <c r="AF7" s="37"/>
      <c r="AG7" s="73"/>
      <c r="AH7" s="37"/>
    </row>
    <row r="8" spans="2:34">
      <c r="B8" s="32" t="s">
        <v>235</v>
      </c>
      <c r="C8" s="33">
        <v>6600</v>
      </c>
      <c r="D8" s="32">
        <v>0</v>
      </c>
      <c r="E8" s="33">
        <f t="shared" si="0"/>
        <v>0</v>
      </c>
      <c r="F8" s="33">
        <v>6600</v>
      </c>
      <c r="G8" s="32">
        <v>0</v>
      </c>
      <c r="H8" s="33">
        <f t="shared" si="1"/>
        <v>0</v>
      </c>
      <c r="I8" s="33">
        <v>6600</v>
      </c>
      <c r="J8" s="32">
        <v>0</v>
      </c>
      <c r="K8" s="33">
        <f t="shared" si="2"/>
        <v>0</v>
      </c>
      <c r="N8" s="32" t="s">
        <v>235</v>
      </c>
      <c r="O8" s="33">
        <v>6600</v>
      </c>
      <c r="P8" s="32">
        <v>0</v>
      </c>
      <c r="Q8" s="33">
        <f t="shared" si="3"/>
        <v>0</v>
      </c>
      <c r="R8" s="33">
        <v>6600</v>
      </c>
      <c r="S8" s="32">
        <v>0</v>
      </c>
      <c r="T8" s="33">
        <f t="shared" si="4"/>
        <v>0</v>
      </c>
      <c r="U8" s="33">
        <v>6600</v>
      </c>
      <c r="V8" s="32">
        <v>0</v>
      </c>
      <c r="W8" s="33">
        <f t="shared" si="5"/>
        <v>0</v>
      </c>
      <c r="Y8" s="73"/>
      <c r="Z8" s="37"/>
      <c r="AA8" s="73"/>
      <c r="AB8" s="37"/>
      <c r="AC8" s="37"/>
      <c r="AD8" s="73"/>
      <c r="AE8" s="37"/>
      <c r="AF8" s="37"/>
      <c r="AG8" s="73"/>
      <c r="AH8" s="37"/>
    </row>
    <row r="9" spans="2:34">
      <c r="B9" s="32" t="s">
        <v>236</v>
      </c>
      <c r="C9" s="33">
        <v>80300</v>
      </c>
      <c r="D9" s="61">
        <f>OT!E17</f>
        <v>372.56543542074348</v>
      </c>
      <c r="E9" s="33">
        <f t="shared" si="0"/>
        <v>29917004.464285702</v>
      </c>
      <c r="F9" s="33">
        <v>80300</v>
      </c>
      <c r="G9" s="32">
        <v>733</v>
      </c>
      <c r="H9" s="33">
        <f t="shared" si="1"/>
        <v>58859900</v>
      </c>
      <c r="I9" s="33">
        <v>80300</v>
      </c>
      <c r="J9" s="32">
        <v>144</v>
      </c>
      <c r="K9" s="33">
        <f t="shared" si="2"/>
        <v>11563200</v>
      </c>
      <c r="N9" s="32" t="s">
        <v>236</v>
      </c>
      <c r="O9" s="33">
        <v>80300</v>
      </c>
      <c r="P9" s="61">
        <f>D9</f>
        <v>372.56543542074348</v>
      </c>
      <c r="Q9" s="33">
        <f t="shared" si="3"/>
        <v>29917004.464285702</v>
      </c>
      <c r="R9" s="33">
        <v>80300</v>
      </c>
      <c r="S9" s="64">
        <f>G24</f>
        <v>647.20000000000005</v>
      </c>
      <c r="T9" s="33">
        <f t="shared" si="4"/>
        <v>51970160</v>
      </c>
      <c r="U9" s="33">
        <v>80300</v>
      </c>
      <c r="V9" s="64">
        <f>J24</f>
        <v>122.73333333333329</v>
      </c>
      <c r="W9" s="33">
        <f t="shared" si="5"/>
        <v>9855486.6666666642</v>
      </c>
      <c r="Y9" s="73"/>
      <c r="Z9" s="37"/>
      <c r="AA9" s="76"/>
      <c r="AB9" s="37"/>
      <c r="AC9" s="37"/>
      <c r="AD9" s="77"/>
      <c r="AE9" s="37"/>
      <c r="AF9" s="37"/>
      <c r="AG9" s="77"/>
      <c r="AH9" s="37"/>
    </row>
    <row r="10" spans="2:34">
      <c r="B10" s="32" t="s">
        <v>237</v>
      </c>
      <c r="C10" s="33">
        <v>1000000</v>
      </c>
      <c r="D10" s="32">
        <v>4</v>
      </c>
      <c r="E10" s="33">
        <f t="shared" si="0"/>
        <v>4000000</v>
      </c>
      <c r="F10" s="33">
        <v>1000000</v>
      </c>
      <c r="G10" s="32">
        <v>6</v>
      </c>
      <c r="H10" s="33">
        <f t="shared" si="1"/>
        <v>6000000</v>
      </c>
      <c r="I10" s="33">
        <v>1000000</v>
      </c>
      <c r="J10" s="32">
        <v>2</v>
      </c>
      <c r="K10" s="33">
        <f t="shared" si="2"/>
        <v>2000000</v>
      </c>
      <c r="N10" s="32" t="s">
        <v>237</v>
      </c>
      <c r="O10" s="33">
        <v>1000000</v>
      </c>
      <c r="P10" s="32">
        <v>4</v>
      </c>
      <c r="Q10" s="33">
        <f t="shared" si="3"/>
        <v>4000000</v>
      </c>
      <c r="R10" s="33">
        <v>1000000</v>
      </c>
      <c r="S10" s="32">
        <v>6</v>
      </c>
      <c r="T10" s="33">
        <f t="shared" si="4"/>
        <v>6000000</v>
      </c>
      <c r="U10" s="33">
        <v>1000000</v>
      </c>
      <c r="V10" s="32">
        <v>2</v>
      </c>
      <c r="W10" s="33">
        <f t="shared" si="5"/>
        <v>2000000</v>
      </c>
      <c r="Y10" s="73"/>
      <c r="Z10" s="37"/>
      <c r="AA10" s="73"/>
      <c r="AB10" s="37"/>
      <c r="AC10" s="37"/>
      <c r="AD10" s="73"/>
      <c r="AE10" s="37"/>
      <c r="AF10" s="37"/>
      <c r="AG10" s="73"/>
      <c r="AH10" s="37"/>
    </row>
    <row r="11" spans="2:34">
      <c r="B11" s="32" t="s">
        <v>238</v>
      </c>
      <c r="C11" s="33">
        <v>500000</v>
      </c>
      <c r="D11" s="32">
        <v>0</v>
      </c>
      <c r="E11" s="33">
        <f t="shared" si="0"/>
        <v>0</v>
      </c>
      <c r="F11" s="33">
        <v>500000</v>
      </c>
      <c r="G11" s="32">
        <v>0</v>
      </c>
      <c r="H11" s="33">
        <f t="shared" si="1"/>
        <v>0</v>
      </c>
      <c r="I11" s="33">
        <v>500000</v>
      </c>
      <c r="J11" s="32">
        <v>0</v>
      </c>
      <c r="K11" s="33">
        <f t="shared" si="2"/>
        <v>0</v>
      </c>
      <c r="N11" s="32" t="s">
        <v>238</v>
      </c>
      <c r="O11" s="33">
        <v>500000</v>
      </c>
      <c r="P11" s="32">
        <v>0</v>
      </c>
      <c r="Q11" s="33">
        <f t="shared" si="3"/>
        <v>0</v>
      </c>
      <c r="R11" s="33">
        <v>500000</v>
      </c>
      <c r="S11" s="32">
        <v>0</v>
      </c>
      <c r="T11" s="33">
        <f t="shared" si="4"/>
        <v>0</v>
      </c>
      <c r="U11" s="33">
        <v>500000</v>
      </c>
      <c r="V11" s="32">
        <v>0</v>
      </c>
      <c r="W11" s="33">
        <f t="shared" si="5"/>
        <v>0</v>
      </c>
      <c r="Y11" s="73"/>
      <c r="Z11" s="37"/>
      <c r="AA11" s="73"/>
      <c r="AB11" s="37"/>
      <c r="AC11" s="37"/>
      <c r="AD11" s="73"/>
      <c r="AE11" s="37"/>
      <c r="AF11" s="37"/>
      <c r="AG11" s="73"/>
      <c r="AH11" s="37"/>
    </row>
    <row r="12" spans="2:34">
      <c r="B12" s="32" t="s">
        <v>239</v>
      </c>
      <c r="C12" s="33">
        <v>420000</v>
      </c>
      <c r="D12" s="32">
        <v>0</v>
      </c>
      <c r="E12" s="33">
        <f t="shared" si="0"/>
        <v>0</v>
      </c>
      <c r="F12" s="33">
        <v>420000</v>
      </c>
      <c r="G12" s="32">
        <v>0</v>
      </c>
      <c r="H12" s="33">
        <f t="shared" si="1"/>
        <v>0</v>
      </c>
      <c r="I12" s="33">
        <v>420000</v>
      </c>
      <c r="J12" s="32">
        <v>0</v>
      </c>
      <c r="K12" s="33">
        <f t="shared" si="2"/>
        <v>0</v>
      </c>
      <c r="N12" s="32" t="s">
        <v>239</v>
      </c>
      <c r="O12" s="33">
        <v>420000</v>
      </c>
      <c r="P12" s="32">
        <v>0</v>
      </c>
      <c r="Q12" s="33">
        <f t="shared" si="3"/>
        <v>0</v>
      </c>
      <c r="R12" s="33">
        <v>420000</v>
      </c>
      <c r="S12" s="32">
        <v>0</v>
      </c>
      <c r="T12" s="33">
        <f t="shared" si="4"/>
        <v>0</v>
      </c>
      <c r="U12" s="33">
        <v>420000</v>
      </c>
      <c r="V12" s="32">
        <v>0</v>
      </c>
      <c r="W12" s="33">
        <f t="shared" si="5"/>
        <v>0</v>
      </c>
      <c r="Y12" s="73"/>
      <c r="Z12" s="37"/>
      <c r="AA12" s="73"/>
      <c r="AB12" s="37"/>
      <c r="AC12" s="37"/>
      <c r="AD12" s="73"/>
      <c r="AE12" s="37"/>
      <c r="AF12" s="37"/>
      <c r="AG12" s="73"/>
      <c r="AH12" s="37"/>
    </row>
    <row r="13" spans="2:34">
      <c r="B13" s="32" t="s">
        <v>240</v>
      </c>
      <c r="C13" s="33">
        <v>450000</v>
      </c>
      <c r="D13" s="32">
        <v>0</v>
      </c>
      <c r="E13" s="33">
        <f t="shared" si="0"/>
        <v>0</v>
      </c>
      <c r="F13" s="33">
        <v>450000</v>
      </c>
      <c r="G13" s="32">
        <v>0</v>
      </c>
      <c r="H13" s="33">
        <f t="shared" si="1"/>
        <v>0</v>
      </c>
      <c r="I13" s="33">
        <v>450000</v>
      </c>
      <c r="J13" s="32">
        <v>0</v>
      </c>
      <c r="K13" s="33">
        <f t="shared" si="2"/>
        <v>0</v>
      </c>
      <c r="N13" s="32" t="s">
        <v>240</v>
      </c>
      <c r="O13" s="33">
        <v>450000</v>
      </c>
      <c r="P13" s="32">
        <v>0</v>
      </c>
      <c r="Q13" s="33">
        <f t="shared" si="3"/>
        <v>0</v>
      </c>
      <c r="R13" s="33">
        <v>450000</v>
      </c>
      <c r="S13" s="32">
        <v>0</v>
      </c>
      <c r="T13" s="33">
        <f t="shared" si="4"/>
        <v>0</v>
      </c>
      <c r="U13" s="33">
        <v>450000</v>
      </c>
      <c r="V13" s="32">
        <v>0</v>
      </c>
      <c r="W13" s="33">
        <f t="shared" si="5"/>
        <v>0</v>
      </c>
      <c r="Y13" s="73"/>
      <c r="Z13" s="37"/>
      <c r="AA13" s="73"/>
      <c r="AB13" s="37"/>
      <c r="AC13" s="37"/>
      <c r="AD13" s="73"/>
      <c r="AE13" s="37"/>
      <c r="AF13" s="37"/>
      <c r="AG13" s="73"/>
      <c r="AH13" s="37"/>
    </row>
    <row r="14" spans="2:34">
      <c r="B14" s="32" t="s">
        <v>183</v>
      </c>
      <c r="C14" s="33">
        <v>5700</v>
      </c>
      <c r="D14" s="32">
        <v>42</v>
      </c>
      <c r="E14" s="33">
        <f t="shared" si="0"/>
        <v>239400</v>
      </c>
      <c r="F14" s="33">
        <v>5700</v>
      </c>
      <c r="G14" s="32">
        <v>1172</v>
      </c>
      <c r="H14" s="33">
        <f t="shared" si="1"/>
        <v>6680400</v>
      </c>
      <c r="I14" s="33">
        <v>5700</v>
      </c>
      <c r="J14" s="32">
        <v>177</v>
      </c>
      <c r="K14" s="33">
        <f t="shared" si="2"/>
        <v>1008900</v>
      </c>
      <c r="N14" s="32" t="s">
        <v>241</v>
      </c>
      <c r="O14" s="33">
        <v>5700</v>
      </c>
      <c r="P14" s="32">
        <v>42</v>
      </c>
      <c r="Q14" s="33">
        <f t="shared" si="3"/>
        <v>239400</v>
      </c>
      <c r="R14" s="33">
        <v>5700</v>
      </c>
      <c r="S14" s="32">
        <v>1172</v>
      </c>
      <c r="T14" s="33">
        <f t="shared" si="4"/>
        <v>6680400</v>
      </c>
      <c r="U14" s="33">
        <v>5700</v>
      </c>
      <c r="V14" s="32">
        <v>177</v>
      </c>
      <c r="W14" s="33">
        <f t="shared" si="5"/>
        <v>1008900</v>
      </c>
      <c r="Y14" s="73"/>
      <c r="Z14" s="37"/>
      <c r="AA14" s="73"/>
      <c r="AB14" s="37"/>
      <c r="AC14" s="37"/>
      <c r="AD14" s="73"/>
      <c r="AE14" s="37"/>
      <c r="AF14" s="37"/>
      <c r="AG14" s="73"/>
      <c r="AH14" s="37"/>
    </row>
    <row r="15" spans="2:34" s="2" customFormat="1">
      <c r="B15" s="35"/>
      <c r="C15" s="35"/>
      <c r="D15" s="31" t="s">
        <v>48</v>
      </c>
      <c r="E15" s="36">
        <f>SUM(E6:E14)</f>
        <v>791846497.46428573</v>
      </c>
      <c r="F15" s="35"/>
      <c r="G15" s="31" t="s">
        <v>48</v>
      </c>
      <c r="H15" s="36">
        <f>SUM(H6:H14)</f>
        <v>956018852</v>
      </c>
      <c r="I15" s="35"/>
      <c r="J15" s="31" t="s">
        <v>48</v>
      </c>
      <c r="K15" s="36">
        <f>SUM(K6:K14)</f>
        <v>276761668</v>
      </c>
      <c r="N15" s="35"/>
      <c r="O15" s="35"/>
      <c r="P15" s="31" t="s">
        <v>48</v>
      </c>
      <c r="Q15" s="36">
        <f>SUM(Q6:Q14)</f>
        <v>478745953.46428573</v>
      </c>
      <c r="R15" s="35"/>
      <c r="S15" s="31" t="s">
        <v>48</v>
      </c>
      <c r="T15" s="51">
        <f>SUM(T6:T14)</f>
        <v>414471096</v>
      </c>
      <c r="U15" s="35"/>
      <c r="V15" s="31" t="s">
        <v>48</v>
      </c>
      <c r="W15" s="36">
        <f>SUM(W6:W14)</f>
        <v>106972482.66666666</v>
      </c>
      <c r="Y15" s="78"/>
      <c r="Z15" s="78"/>
      <c r="AA15" s="74"/>
      <c r="AB15" s="79"/>
      <c r="AC15" s="78"/>
      <c r="AD15" s="74"/>
      <c r="AE15" s="80"/>
      <c r="AF15" s="78"/>
      <c r="AG15" s="74"/>
      <c r="AH15" s="79"/>
    </row>
    <row r="16" spans="2:34" s="2" customFormat="1">
      <c r="B16" s="41"/>
      <c r="C16" s="62">
        <f>C21-C6</f>
        <v>-21268000</v>
      </c>
      <c r="D16" s="42"/>
      <c r="E16" s="43">
        <f>E15/E17</f>
        <v>43991472.081349209</v>
      </c>
      <c r="F16" s="41"/>
      <c r="G16" s="42"/>
      <c r="H16" s="43">
        <f>H15/H17</f>
        <v>50316781.684210524</v>
      </c>
      <c r="I16" s="41"/>
      <c r="J16" s="42"/>
      <c r="K16" s="43">
        <f>K15/K17</f>
        <v>46126944.666666664</v>
      </c>
      <c r="L16" s="72">
        <f>SUM(E15,H15,K15,E89,H89,K89)/47</f>
        <v>47644035.903495446</v>
      </c>
      <c r="N16" s="41"/>
      <c r="O16" s="41"/>
      <c r="P16" s="42"/>
      <c r="Q16" s="43">
        <f>Q15/P17</f>
        <v>47874595.346428573</v>
      </c>
      <c r="R16" s="41"/>
      <c r="S16" s="42"/>
      <c r="T16" s="43">
        <f>T15/S17</f>
        <v>59210156.571428575</v>
      </c>
      <c r="U16" s="41"/>
      <c r="V16" s="42"/>
      <c r="W16" s="43">
        <f>W15/V17</f>
        <v>53486241.333333328</v>
      </c>
      <c r="Y16" s="78"/>
      <c r="Z16" s="78"/>
      <c r="AA16" s="74"/>
      <c r="AB16" s="79"/>
      <c r="AC16" s="78"/>
      <c r="AD16" s="74"/>
      <c r="AE16" s="79"/>
      <c r="AF16" s="78"/>
      <c r="AG16" s="74"/>
      <c r="AH16" s="79"/>
    </row>
    <row r="17" spans="2:34" s="2" customFormat="1">
      <c r="B17" s="41"/>
      <c r="C17" s="62">
        <f>C22-C7</f>
        <v>-21521453</v>
      </c>
      <c r="D17" s="42"/>
      <c r="E17" s="43">
        <v>18</v>
      </c>
      <c r="F17" s="41"/>
      <c r="G17" s="42"/>
      <c r="H17" s="43">
        <v>19</v>
      </c>
      <c r="I17" s="41"/>
      <c r="J17" s="42"/>
      <c r="K17" s="43">
        <v>6</v>
      </c>
      <c r="L17" s="65">
        <v>49912198.1091692</v>
      </c>
      <c r="N17" s="41"/>
      <c r="O17" s="41"/>
      <c r="P17" s="42">
        <v>10</v>
      </c>
      <c r="Q17" s="43"/>
      <c r="R17" s="41"/>
      <c r="S17" s="42">
        <v>7</v>
      </c>
      <c r="T17" s="52"/>
      <c r="U17" s="41"/>
      <c r="V17" s="42">
        <v>2</v>
      </c>
      <c r="W17" s="43"/>
      <c r="Y17" s="78"/>
      <c r="Z17" s="78"/>
      <c r="AA17" s="74"/>
      <c r="AB17" s="79"/>
      <c r="AC17" s="78"/>
      <c r="AD17" s="74"/>
      <c r="AE17" s="80"/>
      <c r="AF17" s="78"/>
      <c r="AG17" s="74"/>
      <c r="AH17" s="79"/>
    </row>
    <row r="18" spans="2:34" s="2" customFormat="1">
      <c r="B18" s="41"/>
      <c r="C18" s="29" t="s">
        <v>280</v>
      </c>
      <c r="D18" s="42"/>
      <c r="E18" s="43"/>
      <c r="F18" s="29" t="s">
        <v>281</v>
      </c>
      <c r="G18" s="42"/>
      <c r="H18" s="43"/>
      <c r="I18" s="29" t="s">
        <v>282</v>
      </c>
      <c r="J18" s="42"/>
      <c r="K18" s="43"/>
      <c r="N18" s="41"/>
      <c r="O18" s="41"/>
      <c r="P18" s="42"/>
      <c r="Q18" s="43"/>
      <c r="R18" s="41"/>
      <c r="S18" s="42"/>
      <c r="T18" s="52"/>
      <c r="U18" s="41"/>
      <c r="V18" s="42"/>
      <c r="W18" s="43"/>
    </row>
    <row r="19" spans="2:34">
      <c r="B19" s="375" t="s">
        <v>301</v>
      </c>
      <c r="C19" s="330" t="s">
        <v>10</v>
      </c>
      <c r="D19" s="331"/>
      <c r="E19" s="332"/>
      <c r="F19" s="330" t="s">
        <v>15</v>
      </c>
      <c r="G19" s="331"/>
      <c r="H19" s="332"/>
      <c r="I19" s="330" t="s">
        <v>17</v>
      </c>
      <c r="J19" s="331"/>
      <c r="K19" s="332"/>
      <c r="N19" s="375" t="s">
        <v>302</v>
      </c>
      <c r="O19" s="330" t="s">
        <v>10</v>
      </c>
      <c r="P19" s="331"/>
      <c r="Q19" s="332"/>
      <c r="R19" s="330" t="s">
        <v>15</v>
      </c>
      <c r="S19" s="331"/>
      <c r="T19" s="332"/>
      <c r="U19" s="330" t="s">
        <v>17</v>
      </c>
      <c r="V19" s="331"/>
      <c r="W19" s="332"/>
    </row>
    <row r="20" spans="2:34">
      <c r="B20" s="376"/>
      <c r="C20" s="30" t="s">
        <v>180</v>
      </c>
      <c r="D20" s="31" t="s">
        <v>41</v>
      </c>
      <c r="E20" s="31" t="s">
        <v>44</v>
      </c>
      <c r="F20" s="30" t="s">
        <v>180</v>
      </c>
      <c r="G20" s="31" t="s">
        <v>41</v>
      </c>
      <c r="H20" s="31" t="s">
        <v>44</v>
      </c>
      <c r="I20" s="30" t="s">
        <v>180</v>
      </c>
      <c r="J20" s="31" t="s">
        <v>41</v>
      </c>
      <c r="K20" s="31" t="s">
        <v>44</v>
      </c>
      <c r="N20" s="376"/>
      <c r="O20" s="30" t="s">
        <v>180</v>
      </c>
      <c r="P20" s="31" t="s">
        <v>41</v>
      </c>
      <c r="Q20" s="31" t="s">
        <v>44</v>
      </c>
      <c r="R20" s="30" t="s">
        <v>180</v>
      </c>
      <c r="S20" s="31" t="s">
        <v>41</v>
      </c>
      <c r="T20" s="31" t="s">
        <v>44</v>
      </c>
      <c r="U20" s="30" t="s">
        <v>180</v>
      </c>
      <c r="V20" s="31" t="s">
        <v>41</v>
      </c>
      <c r="W20" s="31" t="s">
        <v>44</v>
      </c>
    </row>
    <row r="21" spans="2:34">
      <c r="B21" s="32" t="s">
        <v>233</v>
      </c>
      <c r="C21" s="33">
        <v>556852000</v>
      </c>
      <c r="D21" s="32">
        <v>1</v>
      </c>
      <c r="E21" s="33">
        <f t="shared" ref="E21:E29" si="6">+C21*D21</f>
        <v>556852000</v>
      </c>
      <c r="F21" s="33">
        <v>610816000</v>
      </c>
      <c r="G21" s="32">
        <v>1</v>
      </c>
      <c r="H21" s="33">
        <f t="shared" ref="H21:H29" si="7">+F21*G21</f>
        <v>610816000</v>
      </c>
      <c r="I21" s="33">
        <v>193184000</v>
      </c>
      <c r="J21" s="32">
        <v>1</v>
      </c>
      <c r="K21" s="33">
        <f t="shared" ref="K21:K29" si="8">+I21*J21</f>
        <v>193184000</v>
      </c>
      <c r="N21" s="32" t="s">
        <v>233</v>
      </c>
      <c r="O21" s="33">
        <v>556852000</v>
      </c>
      <c r="P21" s="32">
        <v>1</v>
      </c>
      <c r="Q21" s="33">
        <f t="shared" ref="Q21:Q29" si="9">+O21*P21</f>
        <v>556852000</v>
      </c>
      <c r="R21" s="33">
        <v>610816000</v>
      </c>
      <c r="S21" s="32">
        <v>1</v>
      </c>
      <c r="T21" s="33">
        <f t="shared" ref="T21:T29" si="10">+R21*S21</f>
        <v>610816000</v>
      </c>
      <c r="U21" s="33">
        <v>193184000</v>
      </c>
      <c r="V21" s="32">
        <v>1</v>
      </c>
      <c r="W21" s="33">
        <f t="shared" ref="W21:W29" si="11">+U21*V21</f>
        <v>193184000</v>
      </c>
    </row>
    <row r="22" spans="2:34">
      <c r="B22" s="32" t="s">
        <v>234</v>
      </c>
      <c r="C22" s="33">
        <v>158048640</v>
      </c>
      <c r="D22" s="32">
        <v>1</v>
      </c>
      <c r="E22" s="33">
        <f t="shared" si="6"/>
        <v>158048640</v>
      </c>
      <c r="F22" s="33">
        <v>222780420</v>
      </c>
      <c r="G22" s="32">
        <v>1</v>
      </c>
      <c r="H22" s="33">
        <f t="shared" si="7"/>
        <v>222780420</v>
      </c>
      <c r="I22" s="33">
        <v>68328720</v>
      </c>
      <c r="J22" s="32">
        <v>1</v>
      </c>
      <c r="K22" s="33">
        <f t="shared" si="8"/>
        <v>68328720</v>
      </c>
      <c r="N22" s="32" t="s">
        <v>234</v>
      </c>
      <c r="O22" s="33">
        <v>158048640</v>
      </c>
      <c r="P22" s="32">
        <v>1</v>
      </c>
      <c r="Q22" s="33">
        <f t="shared" si="9"/>
        <v>158048640</v>
      </c>
      <c r="R22" s="33">
        <v>222780420</v>
      </c>
      <c r="S22" s="32">
        <v>1</v>
      </c>
      <c r="T22" s="33">
        <f t="shared" si="10"/>
        <v>222780420</v>
      </c>
      <c r="U22" s="33">
        <v>68328720</v>
      </c>
      <c r="V22" s="32">
        <v>1</v>
      </c>
      <c r="W22" s="33">
        <f t="shared" si="11"/>
        <v>68328720</v>
      </c>
    </row>
    <row r="23" spans="2:34">
      <c r="B23" s="32" t="s">
        <v>235</v>
      </c>
      <c r="C23" s="33">
        <v>6600</v>
      </c>
      <c r="D23" s="32">
        <v>0</v>
      </c>
      <c r="E23" s="33">
        <f t="shared" si="6"/>
        <v>0</v>
      </c>
      <c r="F23" s="33">
        <v>6600</v>
      </c>
      <c r="G23" s="32">
        <v>0</v>
      </c>
      <c r="H23" s="33">
        <f t="shared" si="7"/>
        <v>0</v>
      </c>
      <c r="I23" s="33">
        <v>6600</v>
      </c>
      <c r="J23" s="32">
        <v>0</v>
      </c>
      <c r="K23" s="33">
        <f t="shared" si="8"/>
        <v>0</v>
      </c>
      <c r="N23" s="32" t="s">
        <v>235</v>
      </c>
      <c r="O23" s="33">
        <v>4300</v>
      </c>
      <c r="P23" s="32">
        <v>0</v>
      </c>
      <c r="Q23" s="33">
        <f t="shared" si="9"/>
        <v>0</v>
      </c>
      <c r="R23" s="33">
        <v>4300</v>
      </c>
      <c r="S23" s="32">
        <v>0</v>
      </c>
      <c r="T23" s="33">
        <f t="shared" si="10"/>
        <v>0</v>
      </c>
      <c r="U23" s="33">
        <v>4300</v>
      </c>
      <c r="V23" s="32">
        <v>0</v>
      </c>
      <c r="W23" s="33">
        <f t="shared" si="11"/>
        <v>0</v>
      </c>
    </row>
    <row r="24" spans="2:34">
      <c r="B24" s="32" t="s">
        <v>236</v>
      </c>
      <c r="C24" s="33">
        <v>80300</v>
      </c>
      <c r="D24" s="61">
        <f>D9</f>
        <v>372.56543542074348</v>
      </c>
      <c r="E24" s="33">
        <f t="shared" si="6"/>
        <v>29917004.464285702</v>
      </c>
      <c r="F24" s="33">
        <v>80300</v>
      </c>
      <c r="G24" s="63">
        <f>G9-N32</f>
        <v>647.20000000000005</v>
      </c>
      <c r="H24" s="33">
        <f t="shared" si="7"/>
        <v>51970160</v>
      </c>
      <c r="I24" s="33">
        <v>80300</v>
      </c>
      <c r="J24" s="63">
        <f>J9-O32</f>
        <v>122.73333333333329</v>
      </c>
      <c r="K24" s="33">
        <f t="shared" si="8"/>
        <v>9855486.6666666642</v>
      </c>
      <c r="N24" s="32" t="s">
        <v>236</v>
      </c>
      <c r="O24" s="33">
        <v>80300</v>
      </c>
      <c r="P24" s="61">
        <f>P9</f>
        <v>372.56543542074348</v>
      </c>
      <c r="Q24" s="33">
        <f t="shared" si="9"/>
        <v>29917004.464285702</v>
      </c>
      <c r="R24" s="33">
        <v>80300</v>
      </c>
      <c r="S24" s="63">
        <f>S9-Z32</f>
        <v>647.20000000000005</v>
      </c>
      <c r="T24" s="33">
        <f t="shared" si="10"/>
        <v>51970160</v>
      </c>
      <c r="U24" s="33">
        <v>80300</v>
      </c>
      <c r="V24" s="63">
        <f>V9-AA32</f>
        <v>122.73333333333329</v>
      </c>
      <c r="W24" s="33">
        <f t="shared" si="11"/>
        <v>9855486.6666666642</v>
      </c>
    </row>
    <row r="25" spans="2:34">
      <c r="B25" s="32" t="s">
        <v>237</v>
      </c>
      <c r="C25" s="33">
        <v>1100000</v>
      </c>
      <c r="D25" s="32">
        <v>4</v>
      </c>
      <c r="E25" s="33">
        <f t="shared" si="6"/>
        <v>4400000</v>
      </c>
      <c r="F25" s="33">
        <v>1100000</v>
      </c>
      <c r="G25" s="32">
        <v>6</v>
      </c>
      <c r="H25" s="33">
        <f t="shared" si="7"/>
        <v>6600000</v>
      </c>
      <c r="I25" s="33">
        <v>1100000</v>
      </c>
      <c r="J25" s="32">
        <v>2</v>
      </c>
      <c r="K25" s="33">
        <f t="shared" si="8"/>
        <v>2200000</v>
      </c>
      <c r="N25" s="32" t="s">
        <v>237</v>
      </c>
      <c r="O25" s="33">
        <v>870000</v>
      </c>
      <c r="P25" s="32">
        <v>4</v>
      </c>
      <c r="Q25" s="33">
        <f t="shared" si="9"/>
        <v>3480000</v>
      </c>
      <c r="R25" s="33">
        <v>870000</v>
      </c>
      <c r="S25" s="32">
        <v>6</v>
      </c>
      <c r="T25" s="33">
        <f t="shared" si="10"/>
        <v>5220000</v>
      </c>
      <c r="U25" s="33">
        <v>870000</v>
      </c>
      <c r="V25" s="32">
        <v>2</v>
      </c>
      <c r="W25" s="33">
        <f t="shared" si="11"/>
        <v>1740000</v>
      </c>
    </row>
    <row r="26" spans="2:34">
      <c r="B26" s="32" t="s">
        <v>238</v>
      </c>
      <c r="C26" s="33">
        <v>550000</v>
      </c>
      <c r="D26" s="32">
        <v>0</v>
      </c>
      <c r="E26" s="33">
        <f t="shared" si="6"/>
        <v>0</v>
      </c>
      <c r="F26" s="33">
        <v>550000</v>
      </c>
      <c r="G26" s="32">
        <v>0</v>
      </c>
      <c r="H26" s="33">
        <f t="shared" si="7"/>
        <v>0</v>
      </c>
      <c r="I26" s="33">
        <v>550000</v>
      </c>
      <c r="J26" s="32">
        <v>0</v>
      </c>
      <c r="K26" s="33">
        <f t="shared" si="8"/>
        <v>0</v>
      </c>
      <c r="N26" s="32" t="s">
        <v>238</v>
      </c>
      <c r="O26" s="33">
        <v>435000</v>
      </c>
      <c r="P26" s="32">
        <v>0</v>
      </c>
      <c r="Q26" s="33">
        <f t="shared" si="9"/>
        <v>0</v>
      </c>
      <c r="R26" s="33">
        <v>435000</v>
      </c>
      <c r="S26" s="32">
        <v>0</v>
      </c>
      <c r="T26" s="33">
        <f t="shared" si="10"/>
        <v>0</v>
      </c>
      <c r="U26" s="33">
        <v>435000</v>
      </c>
      <c r="V26" s="32">
        <v>0</v>
      </c>
      <c r="W26" s="33">
        <f t="shared" si="11"/>
        <v>0</v>
      </c>
    </row>
    <row r="27" spans="2:34">
      <c r="B27" s="32" t="s">
        <v>239</v>
      </c>
      <c r="C27" s="33">
        <v>420000</v>
      </c>
      <c r="D27" s="32">
        <v>0</v>
      </c>
      <c r="E27" s="33">
        <f t="shared" si="6"/>
        <v>0</v>
      </c>
      <c r="F27" s="33">
        <v>420000</v>
      </c>
      <c r="G27" s="32">
        <v>0</v>
      </c>
      <c r="H27" s="33">
        <f t="shared" si="7"/>
        <v>0</v>
      </c>
      <c r="I27" s="33">
        <v>420000</v>
      </c>
      <c r="J27" s="32">
        <v>0</v>
      </c>
      <c r="K27" s="33">
        <f t="shared" si="8"/>
        <v>0</v>
      </c>
      <c r="N27" s="32" t="s">
        <v>239</v>
      </c>
      <c r="O27" s="33">
        <v>420000</v>
      </c>
      <c r="P27" s="32">
        <v>0</v>
      </c>
      <c r="Q27" s="33">
        <f t="shared" si="9"/>
        <v>0</v>
      </c>
      <c r="R27" s="33">
        <v>420000</v>
      </c>
      <c r="S27" s="32">
        <v>0</v>
      </c>
      <c r="T27" s="33">
        <f t="shared" si="10"/>
        <v>0</v>
      </c>
      <c r="U27" s="33">
        <v>420000</v>
      </c>
      <c r="V27" s="32">
        <v>0</v>
      </c>
      <c r="W27" s="33">
        <f t="shared" si="11"/>
        <v>0</v>
      </c>
    </row>
    <row r="28" spans="2:34">
      <c r="B28" s="32" t="s">
        <v>240</v>
      </c>
      <c r="C28" s="33">
        <v>450000</v>
      </c>
      <c r="D28" s="32">
        <v>0</v>
      </c>
      <c r="E28" s="33">
        <f t="shared" si="6"/>
        <v>0</v>
      </c>
      <c r="F28" s="33">
        <v>450000</v>
      </c>
      <c r="G28" s="32">
        <v>0</v>
      </c>
      <c r="H28" s="33">
        <f t="shared" si="7"/>
        <v>0</v>
      </c>
      <c r="I28" s="33">
        <v>450000</v>
      </c>
      <c r="J28" s="32">
        <v>0</v>
      </c>
      <c r="K28" s="33">
        <f t="shared" si="8"/>
        <v>0</v>
      </c>
      <c r="N28" s="32" t="s">
        <v>240</v>
      </c>
      <c r="O28" s="33">
        <v>450000</v>
      </c>
      <c r="P28" s="32">
        <v>0</v>
      </c>
      <c r="Q28" s="33">
        <f t="shared" si="9"/>
        <v>0</v>
      </c>
      <c r="R28" s="33">
        <v>450000</v>
      </c>
      <c r="S28" s="32">
        <v>0</v>
      </c>
      <c r="T28" s="33">
        <f t="shared" si="10"/>
        <v>0</v>
      </c>
      <c r="U28" s="33">
        <v>450000</v>
      </c>
      <c r="V28" s="32">
        <v>0</v>
      </c>
      <c r="W28" s="33">
        <f t="shared" si="11"/>
        <v>0</v>
      </c>
    </row>
    <row r="29" spans="2:34">
      <c r="B29" s="32" t="s">
        <v>183</v>
      </c>
      <c r="C29" s="33">
        <v>5700</v>
      </c>
      <c r="D29" s="32">
        <v>0</v>
      </c>
      <c r="E29" s="33">
        <f t="shared" si="6"/>
        <v>0</v>
      </c>
      <c r="F29" s="33">
        <v>5700</v>
      </c>
      <c r="G29" s="32">
        <v>0</v>
      </c>
      <c r="H29" s="33">
        <f t="shared" si="7"/>
        <v>0</v>
      </c>
      <c r="I29" s="33">
        <v>5700</v>
      </c>
      <c r="J29" s="32">
        <v>0</v>
      </c>
      <c r="K29" s="33">
        <f t="shared" si="8"/>
        <v>0</v>
      </c>
      <c r="N29" s="32" t="s">
        <v>183</v>
      </c>
      <c r="O29" s="33"/>
      <c r="P29" s="32">
        <v>0</v>
      </c>
      <c r="Q29" s="33">
        <f t="shared" si="9"/>
        <v>0</v>
      </c>
      <c r="R29" s="33"/>
      <c r="S29" s="32">
        <v>0</v>
      </c>
      <c r="T29" s="33">
        <f t="shared" si="10"/>
        <v>0</v>
      </c>
      <c r="U29" s="33"/>
      <c r="V29" s="32">
        <v>0</v>
      </c>
      <c r="W29" s="33">
        <f t="shared" si="11"/>
        <v>0</v>
      </c>
    </row>
    <row r="30" spans="2:34" s="2" customFormat="1">
      <c r="B30" s="35"/>
      <c r="C30" s="35"/>
      <c r="D30" s="31" t="s">
        <v>48</v>
      </c>
      <c r="E30" s="36">
        <f>SUM(E21:E29)</f>
        <v>749217644.46428573</v>
      </c>
      <c r="F30" s="35"/>
      <c r="G30" s="31" t="s">
        <v>48</v>
      </c>
      <c r="H30" s="36">
        <f>SUM(H21:H29)</f>
        <v>892166580</v>
      </c>
      <c r="I30" s="35"/>
      <c r="J30" s="31" t="s">
        <v>48</v>
      </c>
      <c r="K30" s="36">
        <f>SUM(K21:K29)</f>
        <v>273568206.66666669</v>
      </c>
      <c r="N30" s="35"/>
      <c r="O30" s="35"/>
      <c r="P30" s="31" t="s">
        <v>48</v>
      </c>
      <c r="Q30" s="36">
        <f>SUM(Q21:Q29)</f>
        <v>748297644.46428573</v>
      </c>
      <c r="R30" s="35"/>
      <c r="S30" s="31" t="s">
        <v>48</v>
      </c>
      <c r="T30" s="36">
        <f>SUM(T21:T29)</f>
        <v>890786580</v>
      </c>
      <c r="U30" s="35"/>
      <c r="V30" s="31" t="s">
        <v>48</v>
      </c>
      <c r="W30" s="36">
        <f>SUM(W21:W29)</f>
        <v>273108206.66666669</v>
      </c>
      <c r="Y30" s="65">
        <f>+Q30+T30+W30+E118+H133+K133</f>
        <v>2092331431.1309526</v>
      </c>
    </row>
    <row r="31" spans="2:34" s="2" customFormat="1">
      <c r="B31" s="41"/>
      <c r="C31" s="41"/>
      <c r="D31" s="42"/>
      <c r="E31" s="43">
        <f>E30/E32</f>
        <v>41623202.470238097</v>
      </c>
      <c r="F31" s="62"/>
      <c r="G31" s="42"/>
      <c r="H31" s="43">
        <f>H30/H32</f>
        <v>46956135.789473683</v>
      </c>
      <c r="I31" s="62"/>
      <c r="J31" s="42"/>
      <c r="K31" s="43">
        <f>K30/K32</f>
        <v>45594701.111111112</v>
      </c>
      <c r="L31" s="65"/>
      <c r="N31" s="41"/>
      <c r="O31" s="41"/>
      <c r="P31" s="42"/>
      <c r="Q31" s="43">
        <f>Q30/Q32</f>
        <v>41572091.359126985</v>
      </c>
      <c r="R31" s="62">
        <f>Q30-Q15</f>
        <v>269551691</v>
      </c>
      <c r="S31" s="42"/>
      <c r="T31" s="43">
        <f>T30/T32</f>
        <v>46883504.210526317</v>
      </c>
      <c r="U31" s="62">
        <f>T30-T15</f>
        <v>476315484</v>
      </c>
      <c r="V31" s="42"/>
      <c r="W31" s="43">
        <f>W30/W32</f>
        <v>45518034.444444448</v>
      </c>
      <c r="Y31" s="2">
        <f>+Y30/23000</f>
        <v>90970.931788302289</v>
      </c>
    </row>
    <row r="32" spans="2:34" s="2" customFormat="1">
      <c r="B32" s="41"/>
      <c r="C32" s="41"/>
      <c r="D32" s="42"/>
      <c r="E32" s="43">
        <v>18</v>
      </c>
      <c r="F32" s="62"/>
      <c r="G32" s="42"/>
      <c r="H32" s="43">
        <v>19</v>
      </c>
      <c r="I32" s="62"/>
      <c r="J32" s="42"/>
      <c r="K32" s="43">
        <v>6</v>
      </c>
      <c r="L32" s="65"/>
      <c r="N32" s="41">
        <v>85.8</v>
      </c>
      <c r="O32" s="41">
        <v>21.266666666666701</v>
      </c>
      <c r="P32" s="42"/>
      <c r="Q32" s="43">
        <v>18</v>
      </c>
      <c r="R32" s="41"/>
      <c r="S32" s="42"/>
      <c r="T32" s="52">
        <v>19</v>
      </c>
      <c r="U32" s="41"/>
      <c r="V32" s="42"/>
      <c r="W32" s="43">
        <v>6</v>
      </c>
    </row>
    <row r="33" spans="2:37" s="2" customFormat="1">
      <c r="B33" s="41"/>
      <c r="C33" s="29" t="s">
        <v>277</v>
      </c>
      <c r="D33" s="29"/>
      <c r="E33" s="29"/>
      <c r="F33" s="29" t="s">
        <v>278</v>
      </c>
      <c r="G33" s="29"/>
      <c r="H33" s="29"/>
      <c r="I33" s="29" t="s">
        <v>279</v>
      </c>
      <c r="J33" s="29"/>
      <c r="K33" s="29"/>
      <c r="N33" s="41"/>
      <c r="O33" s="41"/>
      <c r="P33" s="42"/>
      <c r="Q33" s="43"/>
      <c r="R33" s="41"/>
      <c r="S33" s="42"/>
      <c r="T33" s="52"/>
      <c r="U33" s="41"/>
      <c r="V33" s="42"/>
      <c r="W33" s="43"/>
    </row>
    <row r="34" spans="2:37">
      <c r="B34" s="375" t="s">
        <v>303</v>
      </c>
      <c r="C34" s="330" t="s">
        <v>10</v>
      </c>
      <c r="D34" s="331"/>
      <c r="E34" s="332"/>
      <c r="F34" s="330" t="s">
        <v>15</v>
      </c>
      <c r="G34" s="331"/>
      <c r="H34" s="332"/>
      <c r="I34" s="330" t="s">
        <v>17</v>
      </c>
      <c r="J34" s="331"/>
      <c r="K34" s="332"/>
      <c r="N34" s="375" t="s">
        <v>304</v>
      </c>
      <c r="O34" s="330" t="s">
        <v>10</v>
      </c>
      <c r="P34" s="331"/>
      <c r="Q34" s="332"/>
      <c r="R34" s="330" t="s">
        <v>15</v>
      </c>
      <c r="S34" s="331"/>
      <c r="T34" s="332"/>
      <c r="U34" s="330" t="s">
        <v>17</v>
      </c>
      <c r="V34" s="331"/>
      <c r="W34" s="332"/>
      <c r="Z34" s="375" t="s">
        <v>305</v>
      </c>
      <c r="AA34" s="330" t="s">
        <v>10</v>
      </c>
      <c r="AB34" s="331"/>
      <c r="AC34" s="332"/>
      <c r="AD34" s="330" t="s">
        <v>15</v>
      </c>
      <c r="AE34" s="331"/>
      <c r="AF34" s="332"/>
      <c r="AG34" s="330" t="s">
        <v>17</v>
      </c>
      <c r="AH34" s="331"/>
      <c r="AI34" s="332"/>
    </row>
    <row r="35" spans="2:37">
      <c r="B35" s="376"/>
      <c r="C35" s="30" t="s">
        <v>180</v>
      </c>
      <c r="D35" s="31" t="s">
        <v>41</v>
      </c>
      <c r="E35" s="31" t="s">
        <v>44</v>
      </c>
      <c r="F35" s="30" t="s">
        <v>180</v>
      </c>
      <c r="G35" s="31" t="s">
        <v>41</v>
      </c>
      <c r="H35" s="31" t="s">
        <v>44</v>
      </c>
      <c r="I35" s="30" t="s">
        <v>180</v>
      </c>
      <c r="J35" s="31" t="s">
        <v>41</v>
      </c>
      <c r="K35" s="31" t="s">
        <v>44</v>
      </c>
      <c r="N35" s="376"/>
      <c r="O35" s="30" t="s">
        <v>180</v>
      </c>
      <c r="P35" s="31" t="s">
        <v>41</v>
      </c>
      <c r="Q35" s="31" t="s">
        <v>44</v>
      </c>
      <c r="R35" s="30" t="s">
        <v>180</v>
      </c>
      <c r="S35" s="31" t="s">
        <v>41</v>
      </c>
      <c r="T35" s="31" t="s">
        <v>44</v>
      </c>
      <c r="U35" s="30" t="s">
        <v>180</v>
      </c>
      <c r="V35" s="31" t="s">
        <v>41</v>
      </c>
      <c r="W35" s="31" t="s">
        <v>44</v>
      </c>
      <c r="Z35" s="376"/>
      <c r="AA35" s="30" t="s">
        <v>180</v>
      </c>
      <c r="AB35" s="31" t="s">
        <v>41</v>
      </c>
      <c r="AC35" s="31" t="s">
        <v>44</v>
      </c>
      <c r="AD35" s="30" t="s">
        <v>180</v>
      </c>
      <c r="AE35" s="31" t="s">
        <v>41</v>
      </c>
      <c r="AF35" s="31" t="s">
        <v>44</v>
      </c>
      <c r="AG35" s="30" t="s">
        <v>180</v>
      </c>
      <c r="AH35" s="31" t="s">
        <v>41</v>
      </c>
      <c r="AI35" s="31" t="s">
        <v>44</v>
      </c>
    </row>
    <row r="36" spans="2:37">
      <c r="B36" s="32" t="s">
        <v>233</v>
      </c>
      <c r="C36" s="33">
        <v>331840000</v>
      </c>
      <c r="D36" s="32">
        <v>1</v>
      </c>
      <c r="E36" s="33">
        <f>+C36*D36</f>
        <v>331840000</v>
      </c>
      <c r="F36" s="33">
        <v>251148000</v>
      </c>
      <c r="G36" s="32">
        <v>1</v>
      </c>
      <c r="H36" s="33">
        <f>+F36*G36</f>
        <v>251148000</v>
      </c>
      <c r="I36" s="33">
        <v>73128000</v>
      </c>
      <c r="J36" s="32">
        <v>1</v>
      </c>
      <c r="K36" s="33">
        <f>+I36*J36</f>
        <v>73128000</v>
      </c>
      <c r="N36" s="32" t="s">
        <v>233</v>
      </c>
      <c r="O36" s="33">
        <v>331840000</v>
      </c>
      <c r="P36" s="32">
        <v>1</v>
      </c>
      <c r="Q36" s="33">
        <f>+O36*P36</f>
        <v>331840000</v>
      </c>
      <c r="R36" s="33">
        <v>251148000</v>
      </c>
      <c r="S36" s="32">
        <v>1</v>
      </c>
      <c r="T36" s="33">
        <f>+R36*S36</f>
        <v>251148000</v>
      </c>
      <c r="U36" s="33">
        <v>73128000</v>
      </c>
      <c r="V36" s="32">
        <v>1</v>
      </c>
      <c r="W36" s="33">
        <f>+U36*V36</f>
        <v>73128000</v>
      </c>
      <c r="Z36" s="32" t="s">
        <v>233</v>
      </c>
      <c r="AA36" s="33"/>
      <c r="AB36" s="32"/>
      <c r="AC36" s="33">
        <f>+AA36*AB36</f>
        <v>0</v>
      </c>
      <c r="AD36" s="33">
        <v>432232000</v>
      </c>
      <c r="AE36" s="32">
        <v>1</v>
      </c>
      <c r="AF36" s="33">
        <f>+AD36*AE36</f>
        <v>432232000</v>
      </c>
      <c r="AG36" s="33">
        <v>103392000</v>
      </c>
      <c r="AH36" s="32">
        <v>1</v>
      </c>
      <c r="AI36" s="33">
        <f>+AG36*AH36</f>
        <v>103392000</v>
      </c>
    </row>
    <row r="37" spans="2:37">
      <c r="B37" s="32" t="s">
        <v>234</v>
      </c>
      <c r="C37" s="33">
        <v>87315840</v>
      </c>
      <c r="D37" s="32">
        <v>1</v>
      </c>
      <c r="E37" s="33">
        <f>+C37*D37</f>
        <v>87315840</v>
      </c>
      <c r="F37" s="33">
        <v>80209620</v>
      </c>
      <c r="G37" s="32">
        <v>1</v>
      </c>
      <c r="H37" s="33">
        <f>+F37*G37</f>
        <v>80209620</v>
      </c>
      <c r="I37" s="33">
        <v>20805120</v>
      </c>
      <c r="J37" s="32">
        <v>1</v>
      </c>
      <c r="K37" s="33">
        <f>+I37*J37</f>
        <v>20805120</v>
      </c>
      <c r="N37" s="32" t="s">
        <v>234</v>
      </c>
      <c r="O37" s="33">
        <v>87315840</v>
      </c>
      <c r="P37" s="32">
        <v>1</v>
      </c>
      <c r="Q37" s="33">
        <f>+O37*P37</f>
        <v>87315840</v>
      </c>
      <c r="R37" s="33">
        <v>80209620</v>
      </c>
      <c r="S37" s="32">
        <v>1</v>
      </c>
      <c r="T37" s="33">
        <f>+R37*S37</f>
        <v>80209620</v>
      </c>
      <c r="U37" s="33">
        <v>20805120</v>
      </c>
      <c r="V37" s="32">
        <v>1</v>
      </c>
      <c r="W37" s="33">
        <f>+U37*V37</f>
        <v>20805120</v>
      </c>
      <c r="Z37" s="32" t="s">
        <v>234</v>
      </c>
      <c r="AA37" s="33"/>
      <c r="AB37" s="32"/>
      <c r="AC37" s="33">
        <f>+AA37*AB37</f>
        <v>0</v>
      </c>
      <c r="AD37" s="33">
        <v>150194700</v>
      </c>
      <c r="AE37" s="32">
        <v>1</v>
      </c>
      <c r="AF37" s="33">
        <f>+AD37*AE37</f>
        <v>150194700</v>
      </c>
      <c r="AG37" s="33">
        <v>31385700</v>
      </c>
      <c r="AH37" s="32">
        <v>1</v>
      </c>
      <c r="AI37" s="33">
        <f>+AG37*AH37</f>
        <v>31385700</v>
      </c>
    </row>
    <row r="38" spans="2:37">
      <c r="B38" s="32" t="s">
        <v>235</v>
      </c>
      <c r="C38" s="33">
        <v>6600</v>
      </c>
      <c r="D38" s="32">
        <v>0</v>
      </c>
      <c r="E38" s="33">
        <f t="shared" ref="E38:E44" si="12">+C38*D38</f>
        <v>0</v>
      </c>
      <c r="F38" s="33">
        <v>6600</v>
      </c>
      <c r="G38" s="32">
        <v>0</v>
      </c>
      <c r="H38" s="33">
        <f t="shared" ref="H38:H44" si="13">+F38*G38</f>
        <v>0</v>
      </c>
      <c r="I38" s="33">
        <v>6600</v>
      </c>
      <c r="J38" s="32">
        <v>0</v>
      </c>
      <c r="K38" s="33">
        <f t="shared" ref="K38:K44" si="14">+I38*J38</f>
        <v>0</v>
      </c>
      <c r="N38" s="32" t="s">
        <v>235</v>
      </c>
      <c r="O38" s="33">
        <v>4300</v>
      </c>
      <c r="P38" s="32">
        <v>0</v>
      </c>
      <c r="Q38" s="33">
        <f t="shared" ref="Q38:Q44" si="15">+O38*P38</f>
        <v>0</v>
      </c>
      <c r="R38" s="33">
        <v>4300</v>
      </c>
      <c r="S38" s="32">
        <v>0</v>
      </c>
      <c r="T38" s="33">
        <f t="shared" ref="T38:T44" si="16">+R38*S38</f>
        <v>0</v>
      </c>
      <c r="U38" s="33">
        <v>4300</v>
      </c>
      <c r="V38" s="32">
        <v>0</v>
      </c>
      <c r="W38" s="33">
        <f t="shared" ref="W38:W44" si="17">+U38*V38</f>
        <v>0</v>
      </c>
      <c r="Z38" s="32" t="s">
        <v>235</v>
      </c>
      <c r="AA38" s="33"/>
      <c r="AB38" s="32"/>
      <c r="AC38" s="33">
        <f t="shared" ref="AC38:AC44" si="18">+AA38*AB38</f>
        <v>0</v>
      </c>
      <c r="AD38" s="33">
        <v>6600</v>
      </c>
      <c r="AE38" s="32">
        <v>0</v>
      </c>
      <c r="AF38" s="33">
        <f t="shared" ref="AF38:AF44" si="19">+AD38*AE38</f>
        <v>0</v>
      </c>
      <c r="AG38" s="33">
        <v>6600</v>
      </c>
      <c r="AH38" s="32">
        <v>0</v>
      </c>
      <c r="AI38" s="33">
        <f t="shared" ref="AI38:AI44" si="20">+AG38*AH38</f>
        <v>0</v>
      </c>
    </row>
    <row r="39" spans="2:37">
      <c r="B39" s="32" t="s">
        <v>236</v>
      </c>
      <c r="C39" s="33">
        <v>80300</v>
      </c>
      <c r="D39" s="61">
        <f>D24</f>
        <v>372.56543542074348</v>
      </c>
      <c r="E39" s="33">
        <f t="shared" si="12"/>
        <v>29917004.464285702</v>
      </c>
      <c r="F39" s="33">
        <v>80300</v>
      </c>
      <c r="G39" s="64">
        <f>G24</f>
        <v>647.20000000000005</v>
      </c>
      <c r="H39" s="33">
        <f t="shared" si="13"/>
        <v>51970160</v>
      </c>
      <c r="I39" s="33">
        <v>80300</v>
      </c>
      <c r="J39" s="64">
        <f>J24</f>
        <v>122.73333333333329</v>
      </c>
      <c r="K39" s="33">
        <f t="shared" si="14"/>
        <v>9855486.6666666642</v>
      </c>
      <c r="N39" s="32" t="s">
        <v>236</v>
      </c>
      <c r="O39" s="33">
        <v>80300</v>
      </c>
      <c r="P39" s="61">
        <v>372.56543542074297</v>
      </c>
      <c r="Q39" s="33">
        <f t="shared" si="15"/>
        <v>29917004.464285661</v>
      </c>
      <c r="R39" s="33">
        <v>80300</v>
      </c>
      <c r="S39" s="64">
        <v>647.20000000000005</v>
      </c>
      <c r="T39" s="33">
        <f t="shared" si="16"/>
        <v>51970160</v>
      </c>
      <c r="U39" s="33">
        <v>80300</v>
      </c>
      <c r="V39" s="32">
        <v>122.73333333333299</v>
      </c>
      <c r="W39" s="33">
        <f t="shared" si="17"/>
        <v>9855486.66666664</v>
      </c>
      <c r="Z39" s="32" t="s">
        <v>236</v>
      </c>
      <c r="AA39" s="33"/>
      <c r="AB39" s="32"/>
      <c r="AC39" s="33">
        <f t="shared" si="18"/>
        <v>0</v>
      </c>
      <c r="AD39" s="33">
        <v>80300</v>
      </c>
      <c r="AE39" s="64">
        <v>647.20000000000005</v>
      </c>
      <c r="AF39" s="33">
        <f t="shared" si="19"/>
        <v>51970160</v>
      </c>
      <c r="AG39" s="33">
        <v>80300</v>
      </c>
      <c r="AH39" s="32">
        <v>122.73333333333299</v>
      </c>
      <c r="AI39" s="33">
        <f t="shared" si="20"/>
        <v>9855486.66666664</v>
      </c>
    </row>
    <row r="40" spans="2:37">
      <c r="B40" s="32" t="s">
        <v>237</v>
      </c>
      <c r="C40" s="33">
        <v>1100000</v>
      </c>
      <c r="D40" s="32">
        <v>4</v>
      </c>
      <c r="E40" s="33">
        <f t="shared" si="12"/>
        <v>4400000</v>
      </c>
      <c r="F40" s="33">
        <v>1100000</v>
      </c>
      <c r="G40" s="32">
        <v>6</v>
      </c>
      <c r="H40" s="33">
        <f t="shared" si="13"/>
        <v>6600000</v>
      </c>
      <c r="I40" s="33">
        <v>1100000</v>
      </c>
      <c r="J40" s="32">
        <v>2</v>
      </c>
      <c r="K40" s="33">
        <f t="shared" si="14"/>
        <v>2200000</v>
      </c>
      <c r="N40" s="32" t="s">
        <v>237</v>
      </c>
      <c r="O40" s="33">
        <v>870000</v>
      </c>
      <c r="P40" s="32">
        <v>4</v>
      </c>
      <c r="Q40" s="33">
        <f t="shared" si="15"/>
        <v>3480000</v>
      </c>
      <c r="R40" s="33">
        <v>870000</v>
      </c>
      <c r="S40" s="32">
        <v>6</v>
      </c>
      <c r="T40" s="33">
        <f t="shared" si="16"/>
        <v>5220000</v>
      </c>
      <c r="U40" s="33">
        <v>870000</v>
      </c>
      <c r="V40" s="32">
        <v>2</v>
      </c>
      <c r="W40" s="33">
        <f t="shared" si="17"/>
        <v>1740000</v>
      </c>
      <c r="Z40" s="32" t="s">
        <v>237</v>
      </c>
      <c r="AA40" s="33"/>
      <c r="AB40" s="32"/>
      <c r="AC40" s="33">
        <f t="shared" si="18"/>
        <v>0</v>
      </c>
      <c r="AD40" s="33">
        <v>1100000</v>
      </c>
      <c r="AE40" s="32">
        <v>6</v>
      </c>
      <c r="AF40" s="33">
        <f t="shared" si="19"/>
        <v>6600000</v>
      </c>
      <c r="AG40" s="33">
        <v>1100000</v>
      </c>
      <c r="AH40" s="32">
        <v>2</v>
      </c>
      <c r="AI40" s="33">
        <f t="shared" si="20"/>
        <v>2200000</v>
      </c>
    </row>
    <row r="41" spans="2:37">
      <c r="B41" s="32" t="s">
        <v>238</v>
      </c>
      <c r="C41" s="33">
        <v>550000</v>
      </c>
      <c r="D41" s="32">
        <v>0</v>
      </c>
      <c r="E41" s="33">
        <f t="shared" si="12"/>
        <v>0</v>
      </c>
      <c r="F41" s="33">
        <v>550000</v>
      </c>
      <c r="G41" s="32">
        <v>0</v>
      </c>
      <c r="H41" s="33">
        <f t="shared" si="13"/>
        <v>0</v>
      </c>
      <c r="I41" s="33">
        <v>550000</v>
      </c>
      <c r="J41" s="32">
        <v>0</v>
      </c>
      <c r="K41" s="33">
        <f t="shared" si="14"/>
        <v>0</v>
      </c>
      <c r="N41" s="32" t="s">
        <v>238</v>
      </c>
      <c r="O41" s="33">
        <v>435000</v>
      </c>
      <c r="P41" s="32">
        <v>0</v>
      </c>
      <c r="Q41" s="33">
        <f t="shared" si="15"/>
        <v>0</v>
      </c>
      <c r="R41" s="33">
        <v>435000</v>
      </c>
      <c r="S41" s="32">
        <v>0</v>
      </c>
      <c r="T41" s="33">
        <f t="shared" si="16"/>
        <v>0</v>
      </c>
      <c r="U41" s="33">
        <v>435000</v>
      </c>
      <c r="V41" s="32">
        <v>0</v>
      </c>
      <c r="W41" s="33">
        <f t="shared" si="17"/>
        <v>0</v>
      </c>
      <c r="Z41" s="32" t="s">
        <v>238</v>
      </c>
      <c r="AA41" s="33"/>
      <c r="AB41" s="32"/>
      <c r="AC41" s="33">
        <f t="shared" si="18"/>
        <v>0</v>
      </c>
      <c r="AD41" s="33">
        <v>550000</v>
      </c>
      <c r="AE41" s="32">
        <v>0</v>
      </c>
      <c r="AF41" s="33">
        <f t="shared" si="19"/>
        <v>0</v>
      </c>
      <c r="AG41" s="33">
        <v>550000</v>
      </c>
      <c r="AH41" s="32">
        <v>0</v>
      </c>
      <c r="AI41" s="33">
        <f t="shared" si="20"/>
        <v>0</v>
      </c>
    </row>
    <row r="42" spans="2:37">
      <c r="B42" s="32" t="s">
        <v>239</v>
      </c>
      <c r="C42" s="33">
        <v>420000</v>
      </c>
      <c r="D42" s="32">
        <v>0</v>
      </c>
      <c r="E42" s="33">
        <f t="shared" si="12"/>
        <v>0</v>
      </c>
      <c r="F42" s="33">
        <v>420000</v>
      </c>
      <c r="G42" s="32">
        <v>0</v>
      </c>
      <c r="H42" s="33">
        <f t="shared" si="13"/>
        <v>0</v>
      </c>
      <c r="I42" s="33">
        <v>420000</v>
      </c>
      <c r="J42" s="32">
        <v>0</v>
      </c>
      <c r="K42" s="33">
        <f t="shared" si="14"/>
        <v>0</v>
      </c>
      <c r="N42" s="32" t="s">
        <v>239</v>
      </c>
      <c r="O42" s="33">
        <v>420000</v>
      </c>
      <c r="P42" s="32">
        <v>0</v>
      </c>
      <c r="Q42" s="33">
        <f t="shared" si="15"/>
        <v>0</v>
      </c>
      <c r="R42" s="33">
        <v>420000</v>
      </c>
      <c r="S42" s="32">
        <v>0</v>
      </c>
      <c r="T42" s="33">
        <f t="shared" si="16"/>
        <v>0</v>
      </c>
      <c r="U42" s="33">
        <v>420000</v>
      </c>
      <c r="V42" s="32">
        <v>0</v>
      </c>
      <c r="W42" s="33">
        <f t="shared" si="17"/>
        <v>0</v>
      </c>
      <c r="Z42" s="32" t="s">
        <v>239</v>
      </c>
      <c r="AA42" s="33"/>
      <c r="AB42" s="32"/>
      <c r="AC42" s="33">
        <f t="shared" si="18"/>
        <v>0</v>
      </c>
      <c r="AD42" s="33">
        <v>420000</v>
      </c>
      <c r="AE42" s="32">
        <v>0</v>
      </c>
      <c r="AF42" s="33">
        <f t="shared" si="19"/>
        <v>0</v>
      </c>
      <c r="AG42" s="33">
        <v>420000</v>
      </c>
      <c r="AH42" s="32">
        <v>0</v>
      </c>
      <c r="AI42" s="33">
        <f t="shared" si="20"/>
        <v>0</v>
      </c>
    </row>
    <row r="43" spans="2:37">
      <c r="B43" s="32" t="s">
        <v>240</v>
      </c>
      <c r="C43" s="33">
        <v>450000</v>
      </c>
      <c r="D43" s="32">
        <v>0</v>
      </c>
      <c r="E43" s="33">
        <f t="shared" si="12"/>
        <v>0</v>
      </c>
      <c r="F43" s="33">
        <v>450000</v>
      </c>
      <c r="G43" s="32">
        <v>0</v>
      </c>
      <c r="H43" s="33">
        <f t="shared" si="13"/>
        <v>0</v>
      </c>
      <c r="I43" s="33">
        <v>450000</v>
      </c>
      <c r="J43" s="32">
        <v>0</v>
      </c>
      <c r="K43" s="33">
        <f t="shared" si="14"/>
        <v>0</v>
      </c>
      <c r="N43" s="32" t="s">
        <v>240</v>
      </c>
      <c r="O43" s="33">
        <v>450000</v>
      </c>
      <c r="P43" s="32">
        <v>0</v>
      </c>
      <c r="Q43" s="33">
        <f t="shared" si="15"/>
        <v>0</v>
      </c>
      <c r="R43" s="33">
        <v>450000</v>
      </c>
      <c r="S43" s="32">
        <v>0</v>
      </c>
      <c r="T43" s="33">
        <f t="shared" si="16"/>
        <v>0</v>
      </c>
      <c r="U43" s="33">
        <v>450000</v>
      </c>
      <c r="V43" s="32">
        <v>0</v>
      </c>
      <c r="W43" s="33">
        <f t="shared" si="17"/>
        <v>0</v>
      </c>
      <c r="Z43" s="32" t="s">
        <v>240</v>
      </c>
      <c r="AA43" s="33"/>
      <c r="AB43" s="32"/>
      <c r="AC43" s="33">
        <f t="shared" si="18"/>
        <v>0</v>
      </c>
      <c r="AD43" s="33">
        <v>450000</v>
      </c>
      <c r="AE43" s="32">
        <v>0</v>
      </c>
      <c r="AF43" s="33">
        <f t="shared" si="19"/>
        <v>0</v>
      </c>
      <c r="AG43" s="33">
        <v>450000</v>
      </c>
      <c r="AH43" s="32">
        <v>0</v>
      </c>
      <c r="AI43" s="33">
        <f t="shared" si="20"/>
        <v>0</v>
      </c>
    </row>
    <row r="44" spans="2:37">
      <c r="B44" s="32" t="s">
        <v>183</v>
      </c>
      <c r="C44" s="33">
        <v>5700</v>
      </c>
      <c r="D44" s="32">
        <v>0</v>
      </c>
      <c r="E44" s="33">
        <f t="shared" si="12"/>
        <v>0</v>
      </c>
      <c r="F44" s="33">
        <v>5700</v>
      </c>
      <c r="G44" s="32">
        <v>0</v>
      </c>
      <c r="H44" s="33">
        <f t="shared" si="13"/>
        <v>0</v>
      </c>
      <c r="I44" s="33">
        <v>5700</v>
      </c>
      <c r="J44" s="32">
        <v>0</v>
      </c>
      <c r="K44" s="33">
        <f t="shared" si="14"/>
        <v>0</v>
      </c>
      <c r="N44" s="32" t="s">
        <v>241</v>
      </c>
      <c r="O44" s="33"/>
      <c r="P44" s="32">
        <v>0</v>
      </c>
      <c r="Q44" s="33">
        <f t="shared" si="15"/>
        <v>0</v>
      </c>
      <c r="R44" s="33"/>
      <c r="S44" s="32">
        <v>0</v>
      </c>
      <c r="T44" s="33">
        <f t="shared" si="16"/>
        <v>0</v>
      </c>
      <c r="U44" s="33"/>
      <c r="V44" s="32">
        <v>0</v>
      </c>
      <c r="W44" s="33">
        <f t="shared" si="17"/>
        <v>0</v>
      </c>
      <c r="Z44" s="32" t="s">
        <v>241</v>
      </c>
      <c r="AA44" s="33"/>
      <c r="AB44" s="32"/>
      <c r="AC44" s="33">
        <f t="shared" si="18"/>
        <v>0</v>
      </c>
      <c r="AD44" s="33">
        <v>5700</v>
      </c>
      <c r="AE44" s="32">
        <v>0</v>
      </c>
      <c r="AF44" s="33">
        <f t="shared" si="19"/>
        <v>0</v>
      </c>
      <c r="AG44" s="33">
        <v>5700</v>
      </c>
      <c r="AH44" s="32">
        <v>0</v>
      </c>
      <c r="AI44" s="33">
        <f t="shared" si="20"/>
        <v>0</v>
      </c>
    </row>
    <row r="45" spans="2:37" s="2" customFormat="1">
      <c r="B45" s="35"/>
      <c r="C45" s="35"/>
      <c r="D45" s="31" t="s">
        <v>48</v>
      </c>
      <c r="E45" s="36">
        <f>SUM(E36:E44)</f>
        <v>453472844.46428573</v>
      </c>
      <c r="F45" s="35"/>
      <c r="G45" s="31" t="s">
        <v>48</v>
      </c>
      <c r="H45" s="36">
        <f>SUM(H36:H44)</f>
        <v>389927780</v>
      </c>
      <c r="I45" s="35"/>
      <c r="J45" s="31" t="s">
        <v>48</v>
      </c>
      <c r="K45" s="36">
        <f>SUM(K36:K44)</f>
        <v>105988606.66666666</v>
      </c>
      <c r="N45" s="35"/>
      <c r="O45" s="35"/>
      <c r="P45" s="31" t="s">
        <v>48</v>
      </c>
      <c r="Q45" s="36">
        <f>SUM(Q36:Q44)</f>
        <v>452552844.46428567</v>
      </c>
      <c r="R45" s="35"/>
      <c r="S45" s="31" t="s">
        <v>48</v>
      </c>
      <c r="T45" s="51">
        <f>SUM(T36:T44)</f>
        <v>388547780</v>
      </c>
      <c r="U45" s="35"/>
      <c r="V45" s="31" t="s">
        <v>48</v>
      </c>
      <c r="W45" s="36">
        <f>SUM(W36:W44)</f>
        <v>105528606.66666664</v>
      </c>
      <c r="Z45" s="35"/>
      <c r="AA45" s="35"/>
      <c r="AB45" s="31" t="s">
        <v>48</v>
      </c>
      <c r="AC45" s="36">
        <f>SUM(AC36:AC44)</f>
        <v>0</v>
      </c>
      <c r="AD45" s="35"/>
      <c r="AE45" s="31" t="s">
        <v>48</v>
      </c>
      <c r="AF45" s="51">
        <f>SUM(AF36:AF44)</f>
        <v>640996860</v>
      </c>
      <c r="AG45" s="35"/>
      <c r="AH45" s="31" t="s">
        <v>48</v>
      </c>
      <c r="AI45" s="36">
        <f>SUM(AI36:AI44)</f>
        <v>146833186.66666663</v>
      </c>
    </row>
    <row r="46" spans="2:37" s="2" customFormat="1">
      <c r="B46" s="41"/>
      <c r="C46" s="41"/>
      <c r="D46" s="42"/>
      <c r="E46" s="43">
        <f>E45/E47</f>
        <v>45347284.446428575</v>
      </c>
      <c r="F46" s="41"/>
      <c r="G46" s="42"/>
      <c r="H46" s="43">
        <f>H45/H47</f>
        <v>55703968.571428575</v>
      </c>
      <c r="I46" s="41"/>
      <c r="J46" s="42"/>
      <c r="K46" s="43">
        <f>K45/K47</f>
        <v>52994303.333333328</v>
      </c>
      <c r="O46" s="41"/>
      <c r="P46" s="42"/>
      <c r="Q46" s="43">
        <v>10</v>
      </c>
      <c r="R46" s="41"/>
      <c r="S46" s="42"/>
      <c r="T46" s="43">
        <v>7</v>
      </c>
      <c r="U46" s="41"/>
      <c r="V46" s="42"/>
      <c r="W46" s="43">
        <v>2</v>
      </c>
      <c r="AA46" s="41"/>
      <c r="AB46" s="42"/>
      <c r="AC46" s="43"/>
      <c r="AD46" s="41"/>
      <c r="AE46" s="42"/>
      <c r="AF46" s="43"/>
      <c r="AG46" s="41"/>
      <c r="AH46" s="42"/>
      <c r="AI46" s="43">
        <f>AI45/AI47</f>
        <v>48944395.555555545</v>
      </c>
    </row>
    <row r="47" spans="2:37" s="2" customFormat="1">
      <c r="B47" s="41" t="s">
        <v>227</v>
      </c>
      <c r="C47" s="41"/>
      <c r="D47" s="42"/>
      <c r="E47" s="43">
        <v>10</v>
      </c>
      <c r="F47" s="41"/>
      <c r="G47" s="42"/>
      <c r="H47" s="43">
        <v>7</v>
      </c>
      <c r="I47" s="41"/>
      <c r="J47" s="42"/>
      <c r="K47" s="43">
        <v>2</v>
      </c>
      <c r="N47" s="2" t="s">
        <v>230</v>
      </c>
      <c r="O47" s="41"/>
      <c r="P47" s="42"/>
      <c r="Q47" s="43"/>
      <c r="R47" s="41"/>
      <c r="S47" s="42"/>
      <c r="T47" s="43"/>
      <c r="U47" s="41"/>
      <c r="V47" s="42"/>
      <c r="W47" s="43"/>
      <c r="Z47" s="2" t="s">
        <v>230</v>
      </c>
      <c r="AA47" s="41"/>
      <c r="AB47" s="42"/>
      <c r="AC47" s="43"/>
      <c r="AD47" s="41"/>
      <c r="AE47" s="42"/>
      <c r="AF47" s="43">
        <v>13</v>
      </c>
      <c r="AG47" s="41"/>
      <c r="AH47" s="42"/>
      <c r="AI47" s="43">
        <v>3</v>
      </c>
    </row>
    <row r="48" spans="2:37" ht="15" customHeight="1">
      <c r="B48" s="379" t="s">
        <v>306</v>
      </c>
      <c r="C48" s="330" t="s">
        <v>10</v>
      </c>
      <c r="D48" s="331"/>
      <c r="E48" s="332"/>
      <c r="F48" s="330" t="s">
        <v>15</v>
      </c>
      <c r="G48" s="331"/>
      <c r="H48" s="332"/>
      <c r="I48" s="330" t="s">
        <v>17</v>
      </c>
      <c r="J48" s="331"/>
      <c r="K48" s="332"/>
      <c r="N48" s="375" t="s">
        <v>306</v>
      </c>
      <c r="O48" s="330" t="s">
        <v>10</v>
      </c>
      <c r="P48" s="331"/>
      <c r="Q48" s="332"/>
      <c r="R48" s="330" t="s">
        <v>15</v>
      </c>
      <c r="S48" s="331"/>
      <c r="T48" s="332"/>
      <c r="U48" s="330" t="s">
        <v>17</v>
      </c>
      <c r="V48" s="331"/>
      <c r="W48" s="332"/>
      <c r="AC48" s="330" t="s">
        <v>10</v>
      </c>
      <c r="AD48" s="331"/>
      <c r="AE48" s="332"/>
      <c r="AF48" s="330" t="s">
        <v>15</v>
      </c>
      <c r="AG48" s="331"/>
      <c r="AH48" s="332"/>
      <c r="AI48" s="330" t="s">
        <v>17</v>
      </c>
      <c r="AJ48" s="331"/>
      <c r="AK48" s="332"/>
    </row>
    <row r="49" spans="2:37">
      <c r="B49" s="380"/>
      <c r="C49" s="30" t="s">
        <v>180</v>
      </c>
      <c r="D49" s="31" t="s">
        <v>41</v>
      </c>
      <c r="E49" s="31" t="s">
        <v>44</v>
      </c>
      <c r="F49" s="30" t="s">
        <v>180</v>
      </c>
      <c r="G49" s="31" t="s">
        <v>41</v>
      </c>
      <c r="H49" s="31" t="s">
        <v>44</v>
      </c>
      <c r="I49" s="30" t="s">
        <v>180</v>
      </c>
      <c r="J49" s="31" t="s">
        <v>41</v>
      </c>
      <c r="K49" s="31" t="s">
        <v>44</v>
      </c>
      <c r="N49" s="376"/>
      <c r="O49" s="30" t="s">
        <v>180</v>
      </c>
      <c r="P49" s="31" t="s">
        <v>41</v>
      </c>
      <c r="Q49" s="31" t="s">
        <v>44</v>
      </c>
      <c r="R49" s="30" t="s">
        <v>180</v>
      </c>
      <c r="S49" s="31" t="s">
        <v>41</v>
      </c>
      <c r="T49" s="31" t="s">
        <v>44</v>
      </c>
      <c r="U49" s="30" t="s">
        <v>180</v>
      </c>
      <c r="V49" s="31" t="s">
        <v>41</v>
      </c>
      <c r="W49" s="31" t="s">
        <v>44</v>
      </c>
      <c r="AC49" s="30" t="s">
        <v>180</v>
      </c>
      <c r="AD49" s="31" t="s">
        <v>41</v>
      </c>
      <c r="AE49" s="31" t="s">
        <v>44</v>
      </c>
      <c r="AF49" s="30" t="s">
        <v>180</v>
      </c>
      <c r="AG49" s="31" t="s">
        <v>41</v>
      </c>
      <c r="AH49" s="31" t="s">
        <v>44</v>
      </c>
      <c r="AI49" s="30" t="s">
        <v>180</v>
      </c>
      <c r="AJ49" s="31" t="s">
        <v>41</v>
      </c>
      <c r="AK49" s="31" t="s">
        <v>44</v>
      </c>
    </row>
    <row r="50" spans="2:37">
      <c r="B50" s="32" t="s">
        <v>233</v>
      </c>
      <c r="C50" s="33">
        <v>45565000</v>
      </c>
      <c r="D50" s="32">
        <v>8</v>
      </c>
      <c r="E50" s="33">
        <f>+C50*D50</f>
        <v>364520000</v>
      </c>
      <c r="F50" s="33">
        <v>45945000</v>
      </c>
      <c r="G50" s="32">
        <v>12</v>
      </c>
      <c r="H50" s="33">
        <f>+F50*G50</f>
        <v>551340000</v>
      </c>
      <c r="I50" s="33">
        <v>45945000</v>
      </c>
      <c r="J50" s="32">
        <v>4</v>
      </c>
      <c r="K50" s="33">
        <f>+I50*J50</f>
        <v>183780000</v>
      </c>
      <c r="N50" s="32" t="s">
        <v>233</v>
      </c>
      <c r="O50" s="33">
        <v>45565000</v>
      </c>
      <c r="P50" s="32">
        <v>8</v>
      </c>
      <c r="Q50" s="33">
        <f>+O50*P50</f>
        <v>364520000</v>
      </c>
      <c r="R50" s="33">
        <v>45945000</v>
      </c>
      <c r="S50" s="32">
        <v>12</v>
      </c>
      <c r="T50" s="33">
        <f>+R50*S50</f>
        <v>551340000</v>
      </c>
      <c r="U50" s="33">
        <v>45945000</v>
      </c>
      <c r="V50" s="32">
        <v>4</v>
      </c>
      <c r="W50" s="33">
        <f>+U50*V50</f>
        <v>183780000</v>
      </c>
      <c r="AC50" s="33"/>
      <c r="AD50" s="32"/>
      <c r="AE50" s="32" t="s">
        <v>233</v>
      </c>
      <c r="AF50" s="33">
        <v>372704000</v>
      </c>
      <c r="AG50" s="32">
        <v>1</v>
      </c>
      <c r="AH50" s="33">
        <f t="shared" ref="AH50:AH58" si="21">+AF50*AG50</f>
        <v>372704000</v>
      </c>
      <c r="AI50" s="33">
        <v>133656000</v>
      </c>
      <c r="AJ50" s="32">
        <v>1</v>
      </c>
      <c r="AK50" s="33">
        <f t="shared" ref="AK50:AK58" si="22">+AI50*AJ50</f>
        <v>133656000</v>
      </c>
    </row>
    <row r="51" spans="2:37">
      <c r="B51" s="32" t="s">
        <v>234</v>
      </c>
      <c r="C51" s="33">
        <v>7258000</v>
      </c>
      <c r="D51" s="32">
        <v>8</v>
      </c>
      <c r="E51" s="33">
        <f>+C51*D51</f>
        <v>58064000</v>
      </c>
      <c r="F51" s="33">
        <v>9752000</v>
      </c>
      <c r="G51" s="32">
        <v>12</v>
      </c>
      <c r="H51" s="33">
        <f>+F51*G51</f>
        <v>117024000</v>
      </c>
      <c r="I51" s="33">
        <v>9752000</v>
      </c>
      <c r="J51" s="32">
        <v>4</v>
      </c>
      <c r="K51" s="33">
        <f>+I51*J51</f>
        <v>39008000</v>
      </c>
      <c r="N51" s="32" t="s">
        <v>234</v>
      </c>
      <c r="O51" s="33">
        <v>7258000</v>
      </c>
      <c r="P51" s="32">
        <v>8</v>
      </c>
      <c r="Q51" s="33">
        <f>+O51*P51</f>
        <v>58064000</v>
      </c>
      <c r="R51" s="33">
        <v>9752000</v>
      </c>
      <c r="S51" s="32">
        <v>12</v>
      </c>
      <c r="T51" s="33">
        <f>+R51*S51</f>
        <v>117024000</v>
      </c>
      <c r="U51" s="33">
        <v>9752000</v>
      </c>
      <c r="V51" s="32">
        <v>4</v>
      </c>
      <c r="W51" s="33">
        <f>+U51*V51</f>
        <v>39008000</v>
      </c>
      <c r="AC51" s="33"/>
      <c r="AD51" s="32"/>
      <c r="AE51" s="32" t="s">
        <v>234</v>
      </c>
      <c r="AF51" s="33">
        <v>127733220</v>
      </c>
      <c r="AG51" s="32">
        <v>1</v>
      </c>
      <c r="AH51" s="33">
        <f t="shared" si="21"/>
        <v>127733220</v>
      </c>
      <c r="AI51" s="33">
        <v>44566920</v>
      </c>
      <c r="AJ51" s="32">
        <v>1</v>
      </c>
      <c r="AK51" s="33">
        <f t="shared" si="22"/>
        <v>44566920</v>
      </c>
    </row>
    <row r="52" spans="2:37">
      <c r="B52" s="32" t="s">
        <v>235</v>
      </c>
      <c r="C52" s="33">
        <v>6600</v>
      </c>
      <c r="D52" s="32">
        <v>0</v>
      </c>
      <c r="E52" s="33">
        <f t="shared" ref="E52:E58" si="23">+C52*D52</f>
        <v>0</v>
      </c>
      <c r="F52" s="33">
        <v>6600</v>
      </c>
      <c r="G52" s="32">
        <v>0</v>
      </c>
      <c r="H52" s="33">
        <f t="shared" ref="H52:H58" si="24">+F52*G52</f>
        <v>0</v>
      </c>
      <c r="I52" s="33">
        <v>6600</v>
      </c>
      <c r="J52" s="32">
        <v>0</v>
      </c>
      <c r="K52" s="33">
        <f t="shared" ref="K52:K58" si="25">+I52*J52</f>
        <v>0</v>
      </c>
      <c r="N52" s="32" t="s">
        <v>235</v>
      </c>
      <c r="O52" s="33">
        <v>4300</v>
      </c>
      <c r="P52" s="32">
        <v>0</v>
      </c>
      <c r="Q52" s="33">
        <f t="shared" ref="Q52:Q58" si="26">+O52*P52</f>
        <v>0</v>
      </c>
      <c r="R52" s="33">
        <v>4300</v>
      </c>
      <c r="S52" s="32">
        <v>0</v>
      </c>
      <c r="T52" s="33">
        <f t="shared" ref="T52:T58" si="27">+R52*S52</f>
        <v>0</v>
      </c>
      <c r="U52" s="33">
        <v>4300</v>
      </c>
      <c r="V52" s="32">
        <v>0</v>
      </c>
      <c r="W52" s="33">
        <f t="shared" ref="W52:W58" si="28">+U52*V52</f>
        <v>0</v>
      </c>
      <c r="AC52" s="33"/>
      <c r="AD52" s="32"/>
      <c r="AE52" s="32" t="s">
        <v>235</v>
      </c>
      <c r="AF52" s="33">
        <v>4300</v>
      </c>
      <c r="AG52" s="32">
        <v>0</v>
      </c>
      <c r="AH52" s="33">
        <f t="shared" si="21"/>
        <v>0</v>
      </c>
      <c r="AI52" s="33">
        <v>4300</v>
      </c>
      <c r="AJ52" s="32">
        <v>0</v>
      </c>
      <c r="AK52" s="33">
        <f t="shared" si="22"/>
        <v>0</v>
      </c>
    </row>
    <row r="53" spans="2:37">
      <c r="B53" s="32" t="s">
        <v>236</v>
      </c>
      <c r="C53" s="33">
        <v>80300</v>
      </c>
      <c r="D53" s="61">
        <f>D38</f>
        <v>0</v>
      </c>
      <c r="E53" s="33">
        <f t="shared" si="23"/>
        <v>0</v>
      </c>
      <c r="F53" s="33">
        <v>80300</v>
      </c>
      <c r="G53" s="61">
        <f>G38</f>
        <v>0</v>
      </c>
      <c r="H53" s="33">
        <f t="shared" si="24"/>
        <v>0</v>
      </c>
      <c r="I53" s="33">
        <v>80300</v>
      </c>
      <c r="J53" s="61">
        <f>J38</f>
        <v>0</v>
      </c>
      <c r="K53" s="33">
        <f t="shared" si="25"/>
        <v>0</v>
      </c>
      <c r="N53" s="32" t="s">
        <v>236</v>
      </c>
      <c r="O53" s="33">
        <v>80300</v>
      </c>
      <c r="P53" s="61">
        <f>P38</f>
        <v>0</v>
      </c>
      <c r="Q53" s="33">
        <f t="shared" si="26"/>
        <v>0</v>
      </c>
      <c r="R53" s="33">
        <v>80300</v>
      </c>
      <c r="S53" s="61">
        <f>S38</f>
        <v>0</v>
      </c>
      <c r="T53" s="33">
        <f t="shared" si="27"/>
        <v>0</v>
      </c>
      <c r="U53" s="33">
        <v>80300</v>
      </c>
      <c r="V53" s="61">
        <f>V38</f>
        <v>0</v>
      </c>
      <c r="W53" s="33">
        <f t="shared" si="28"/>
        <v>0</v>
      </c>
      <c r="AC53" s="33"/>
      <c r="AD53" s="32"/>
      <c r="AE53" s="32" t="s">
        <v>236</v>
      </c>
      <c r="AF53" s="33">
        <v>80300</v>
      </c>
      <c r="AG53" s="64">
        <f>647.2/19*11</f>
        <v>374.69473684210533</v>
      </c>
      <c r="AH53" s="33">
        <f t="shared" si="21"/>
        <v>30087987.368421059</v>
      </c>
      <c r="AI53" s="33">
        <v>80300</v>
      </c>
      <c r="AJ53" s="32">
        <f>122.733333333333/6*4</f>
        <v>81.822222222221995</v>
      </c>
      <c r="AK53" s="33">
        <f t="shared" si="22"/>
        <v>6570324.4444444263</v>
      </c>
    </row>
    <row r="54" spans="2:37">
      <c r="B54" s="32" t="s">
        <v>237</v>
      </c>
      <c r="C54" s="33">
        <v>1100000</v>
      </c>
      <c r="D54" s="32">
        <v>0</v>
      </c>
      <c r="E54" s="33">
        <f t="shared" si="23"/>
        <v>0</v>
      </c>
      <c r="F54" s="33">
        <v>1100000</v>
      </c>
      <c r="G54" s="32">
        <v>0</v>
      </c>
      <c r="H54" s="33">
        <f t="shared" si="24"/>
        <v>0</v>
      </c>
      <c r="I54" s="33">
        <v>1100000</v>
      </c>
      <c r="J54" s="32">
        <v>0</v>
      </c>
      <c r="K54" s="33">
        <f t="shared" si="25"/>
        <v>0</v>
      </c>
      <c r="N54" s="32" t="s">
        <v>237</v>
      </c>
      <c r="O54" s="33">
        <v>870000</v>
      </c>
      <c r="P54" s="32">
        <v>0</v>
      </c>
      <c r="Q54" s="33">
        <f t="shared" si="26"/>
        <v>0</v>
      </c>
      <c r="R54" s="33">
        <v>870000</v>
      </c>
      <c r="S54" s="32">
        <v>0</v>
      </c>
      <c r="T54" s="33">
        <f t="shared" si="27"/>
        <v>0</v>
      </c>
      <c r="U54" s="33">
        <v>870000</v>
      </c>
      <c r="V54" s="32">
        <v>0</v>
      </c>
      <c r="W54" s="33">
        <f t="shared" si="28"/>
        <v>0</v>
      </c>
      <c r="AC54" s="33"/>
      <c r="AD54" s="32"/>
      <c r="AE54" s="32" t="s">
        <v>237</v>
      </c>
      <c r="AF54" s="33">
        <v>870000</v>
      </c>
      <c r="AG54" s="32">
        <v>6</v>
      </c>
      <c r="AH54" s="33">
        <f t="shared" si="21"/>
        <v>5220000</v>
      </c>
      <c r="AI54" s="33">
        <v>870000</v>
      </c>
      <c r="AJ54" s="32">
        <v>2</v>
      </c>
      <c r="AK54" s="33">
        <f t="shared" si="22"/>
        <v>1740000</v>
      </c>
    </row>
    <row r="55" spans="2:37">
      <c r="B55" s="32" t="s">
        <v>238</v>
      </c>
      <c r="C55" s="33">
        <v>550000</v>
      </c>
      <c r="D55" s="32">
        <v>0</v>
      </c>
      <c r="E55" s="33">
        <f t="shared" si="23"/>
        <v>0</v>
      </c>
      <c r="F55" s="33">
        <v>550000</v>
      </c>
      <c r="G55" s="32">
        <v>0</v>
      </c>
      <c r="H55" s="33">
        <f t="shared" si="24"/>
        <v>0</v>
      </c>
      <c r="I55" s="33">
        <v>550000</v>
      </c>
      <c r="J55" s="32">
        <v>0</v>
      </c>
      <c r="K55" s="33">
        <f t="shared" si="25"/>
        <v>0</v>
      </c>
      <c r="N55" s="32" t="s">
        <v>238</v>
      </c>
      <c r="O55" s="33">
        <v>435000</v>
      </c>
      <c r="P55" s="32">
        <v>0</v>
      </c>
      <c r="Q55" s="33">
        <f t="shared" si="26"/>
        <v>0</v>
      </c>
      <c r="R55" s="33">
        <v>435000</v>
      </c>
      <c r="S55" s="32">
        <v>0</v>
      </c>
      <c r="T55" s="33">
        <f t="shared" si="27"/>
        <v>0</v>
      </c>
      <c r="U55" s="33">
        <v>435000</v>
      </c>
      <c r="V55" s="32">
        <v>0</v>
      </c>
      <c r="W55" s="33">
        <f t="shared" si="28"/>
        <v>0</v>
      </c>
      <c r="AC55" s="33"/>
      <c r="AD55" s="32"/>
      <c r="AE55" s="32" t="s">
        <v>238</v>
      </c>
      <c r="AF55" s="33">
        <v>435000</v>
      </c>
      <c r="AG55" s="32">
        <v>0</v>
      </c>
      <c r="AH55" s="33">
        <f t="shared" si="21"/>
        <v>0</v>
      </c>
      <c r="AI55" s="33">
        <v>435000</v>
      </c>
      <c r="AJ55" s="32">
        <v>0</v>
      </c>
      <c r="AK55" s="33">
        <f t="shared" si="22"/>
        <v>0</v>
      </c>
    </row>
    <row r="56" spans="2:37">
      <c r="B56" s="32" t="s">
        <v>239</v>
      </c>
      <c r="C56" s="33">
        <v>420000</v>
      </c>
      <c r="D56" s="32">
        <v>0</v>
      </c>
      <c r="E56" s="33">
        <f t="shared" si="23"/>
        <v>0</v>
      </c>
      <c r="F56" s="33">
        <v>420000</v>
      </c>
      <c r="G56" s="32">
        <v>0</v>
      </c>
      <c r="H56" s="33">
        <f t="shared" si="24"/>
        <v>0</v>
      </c>
      <c r="I56" s="33">
        <v>420000</v>
      </c>
      <c r="J56" s="32">
        <v>0</v>
      </c>
      <c r="K56" s="33">
        <f t="shared" si="25"/>
        <v>0</v>
      </c>
      <c r="N56" s="32" t="s">
        <v>239</v>
      </c>
      <c r="O56" s="33">
        <v>420000</v>
      </c>
      <c r="P56" s="32">
        <v>0</v>
      </c>
      <c r="Q56" s="33">
        <f t="shared" si="26"/>
        <v>0</v>
      </c>
      <c r="R56" s="33">
        <v>420000</v>
      </c>
      <c r="S56" s="32">
        <v>0</v>
      </c>
      <c r="T56" s="33">
        <f t="shared" si="27"/>
        <v>0</v>
      </c>
      <c r="U56" s="33">
        <v>420000</v>
      </c>
      <c r="V56" s="32">
        <v>0</v>
      </c>
      <c r="W56" s="33">
        <f t="shared" si="28"/>
        <v>0</v>
      </c>
      <c r="AC56" s="33"/>
      <c r="AD56" s="32"/>
      <c r="AE56" s="32" t="s">
        <v>239</v>
      </c>
      <c r="AF56" s="33">
        <v>420000</v>
      </c>
      <c r="AG56" s="32">
        <v>0</v>
      </c>
      <c r="AH56" s="33">
        <f t="shared" si="21"/>
        <v>0</v>
      </c>
      <c r="AI56" s="33">
        <v>420000</v>
      </c>
      <c r="AJ56" s="32">
        <v>0</v>
      </c>
      <c r="AK56" s="33">
        <f t="shared" si="22"/>
        <v>0</v>
      </c>
    </row>
    <row r="57" spans="2:37">
      <c r="B57" s="32" t="s">
        <v>240</v>
      </c>
      <c r="C57" s="33">
        <v>450000</v>
      </c>
      <c r="D57" s="32">
        <v>0</v>
      </c>
      <c r="E57" s="33">
        <f t="shared" si="23"/>
        <v>0</v>
      </c>
      <c r="F57" s="33">
        <v>450000</v>
      </c>
      <c r="G57" s="32">
        <v>0</v>
      </c>
      <c r="H57" s="33">
        <f t="shared" si="24"/>
        <v>0</v>
      </c>
      <c r="I57" s="33">
        <v>450000</v>
      </c>
      <c r="J57" s="32">
        <v>0</v>
      </c>
      <c r="K57" s="33">
        <f t="shared" si="25"/>
        <v>0</v>
      </c>
      <c r="N57" s="32" t="s">
        <v>240</v>
      </c>
      <c r="O57" s="33">
        <v>450000</v>
      </c>
      <c r="P57" s="32">
        <v>0</v>
      </c>
      <c r="Q57" s="33">
        <f t="shared" si="26"/>
        <v>0</v>
      </c>
      <c r="R57" s="33">
        <v>450000</v>
      </c>
      <c r="S57" s="32">
        <v>0</v>
      </c>
      <c r="T57" s="33">
        <f t="shared" si="27"/>
        <v>0</v>
      </c>
      <c r="U57" s="33">
        <v>450000</v>
      </c>
      <c r="V57" s="32">
        <v>0</v>
      </c>
      <c r="W57" s="33">
        <f t="shared" si="28"/>
        <v>0</v>
      </c>
      <c r="AC57" s="33"/>
      <c r="AD57" s="32"/>
      <c r="AE57" s="32" t="s">
        <v>240</v>
      </c>
      <c r="AF57" s="33">
        <v>450000</v>
      </c>
      <c r="AG57" s="32">
        <v>0</v>
      </c>
      <c r="AH57" s="33">
        <f t="shared" si="21"/>
        <v>0</v>
      </c>
      <c r="AI57" s="33">
        <v>450000</v>
      </c>
      <c r="AJ57" s="32">
        <v>0</v>
      </c>
      <c r="AK57" s="33">
        <f t="shared" si="22"/>
        <v>0</v>
      </c>
    </row>
    <row r="58" spans="2:37">
      <c r="B58" s="32" t="s">
        <v>183</v>
      </c>
      <c r="C58" s="33">
        <v>5700</v>
      </c>
      <c r="D58" s="32">
        <v>0</v>
      </c>
      <c r="E58" s="33">
        <f t="shared" si="23"/>
        <v>0</v>
      </c>
      <c r="F58" s="33">
        <v>5700</v>
      </c>
      <c r="G58" s="32">
        <v>0</v>
      </c>
      <c r="H58" s="33">
        <f t="shared" si="24"/>
        <v>0</v>
      </c>
      <c r="I58" s="33">
        <v>5700</v>
      </c>
      <c r="J58" s="32">
        <v>0</v>
      </c>
      <c r="K58" s="33">
        <f t="shared" si="25"/>
        <v>0</v>
      </c>
      <c r="N58" s="32" t="s">
        <v>241</v>
      </c>
      <c r="O58" s="33"/>
      <c r="P58" s="32">
        <v>0</v>
      </c>
      <c r="Q58" s="33">
        <f t="shared" si="26"/>
        <v>0</v>
      </c>
      <c r="R58" s="33"/>
      <c r="S58" s="32">
        <v>0</v>
      </c>
      <c r="T58" s="33">
        <f t="shared" si="27"/>
        <v>0</v>
      </c>
      <c r="U58" s="33"/>
      <c r="V58" s="32">
        <v>0</v>
      </c>
      <c r="W58" s="33">
        <f t="shared" si="28"/>
        <v>0</v>
      </c>
      <c r="AC58" s="33"/>
      <c r="AD58" s="32"/>
      <c r="AE58" s="32" t="s">
        <v>183</v>
      </c>
      <c r="AF58" s="33">
        <v>5700</v>
      </c>
      <c r="AG58" s="32"/>
      <c r="AH58" s="33">
        <f t="shared" si="21"/>
        <v>0</v>
      </c>
      <c r="AI58" s="33">
        <v>5700</v>
      </c>
      <c r="AJ58" s="32"/>
      <c r="AK58" s="33">
        <f t="shared" si="22"/>
        <v>0</v>
      </c>
    </row>
    <row r="59" spans="2:37" s="2" customFormat="1">
      <c r="B59" s="35"/>
      <c r="C59" s="35"/>
      <c r="D59" s="31" t="s">
        <v>48</v>
      </c>
      <c r="E59" s="36">
        <f>SUM(E50:E58)</f>
        <v>422584000</v>
      </c>
      <c r="F59" s="35"/>
      <c r="G59" s="31" t="s">
        <v>48</v>
      </c>
      <c r="H59" s="36">
        <f>SUM(H50:H58)</f>
        <v>668364000</v>
      </c>
      <c r="I59" s="35"/>
      <c r="J59" s="31" t="s">
        <v>48</v>
      </c>
      <c r="K59" s="36">
        <f>SUM(K50:K58)</f>
        <v>222788000</v>
      </c>
      <c r="N59" s="35"/>
      <c r="O59" s="35"/>
      <c r="P59" s="31" t="s">
        <v>48</v>
      </c>
      <c r="Q59" s="36">
        <f>SUM(Q50:Q58)</f>
        <v>422584000</v>
      </c>
      <c r="R59" s="35"/>
      <c r="S59" s="31" t="s">
        <v>48</v>
      </c>
      <c r="T59" s="51">
        <f>SUM(T50:T58)</f>
        <v>668364000</v>
      </c>
      <c r="U59" s="35"/>
      <c r="V59" s="31" t="s">
        <v>48</v>
      </c>
      <c r="W59" s="36">
        <f>SUM(W50:W58)</f>
        <v>222788000</v>
      </c>
      <c r="AC59" s="35"/>
      <c r="AD59" s="31" t="s">
        <v>48</v>
      </c>
      <c r="AE59" s="36">
        <f>SUM(AE50:AE58)</f>
        <v>0</v>
      </c>
      <c r="AF59" s="35"/>
      <c r="AG59" s="31" t="s">
        <v>48</v>
      </c>
      <c r="AH59" s="51">
        <f>SUM(AH50:AH58)</f>
        <v>535745207.36842108</v>
      </c>
      <c r="AI59" s="35"/>
      <c r="AJ59" s="31" t="s">
        <v>48</v>
      </c>
      <c r="AK59" s="36">
        <f>SUM(AK50:AK58)</f>
        <v>186533244.44444442</v>
      </c>
    </row>
    <row r="60" spans="2:37" s="2" customFormat="1">
      <c r="B60" s="41"/>
      <c r="C60" s="41"/>
      <c r="D60" s="42"/>
      <c r="E60" s="43">
        <f>E59/D50</f>
        <v>52823000</v>
      </c>
      <c r="F60" s="41"/>
      <c r="G60" s="42"/>
      <c r="H60" s="43">
        <f>H59/G50</f>
        <v>55697000</v>
      </c>
      <c r="I60" s="41"/>
      <c r="J60" s="42"/>
      <c r="K60" s="43">
        <f>K59/J50</f>
        <v>55697000</v>
      </c>
      <c r="O60" s="62">
        <f>O50+O51</f>
        <v>52823000</v>
      </c>
      <c r="P60" s="42"/>
      <c r="Q60" s="43"/>
      <c r="R60" s="62">
        <f>R50+R51</f>
        <v>55697000</v>
      </c>
      <c r="S60" s="42"/>
      <c r="T60" s="43"/>
      <c r="U60" s="62">
        <f>U50+U51</f>
        <v>55697000</v>
      </c>
      <c r="V60" s="42"/>
      <c r="W60" s="43"/>
      <c r="AC60" s="41"/>
      <c r="AD60" s="42"/>
      <c r="AE60" s="43"/>
      <c r="AF60" s="41"/>
      <c r="AG60" s="42"/>
      <c r="AH60" s="43">
        <f>AH59/AH61</f>
        <v>48704109.760765553</v>
      </c>
      <c r="AI60" s="41"/>
      <c r="AJ60" s="42"/>
      <c r="AK60" s="43">
        <f>AK59/AK61</f>
        <v>46633311.111111104</v>
      </c>
    </row>
    <row r="61" spans="2:37" s="2" customFormat="1">
      <c r="C61" s="41"/>
      <c r="D61" s="42"/>
      <c r="E61" s="43"/>
      <c r="F61" s="41"/>
      <c r="G61" s="42"/>
      <c r="H61" s="43"/>
      <c r="I61" s="41"/>
      <c r="J61" s="42"/>
      <c r="K61" s="43"/>
      <c r="O61" s="41"/>
      <c r="P61" s="42"/>
      <c r="Q61" s="43"/>
      <c r="R61" s="41"/>
      <c r="S61" s="42"/>
      <c r="T61" s="43"/>
      <c r="U61" s="41"/>
      <c r="V61" s="42"/>
      <c r="W61" s="43"/>
      <c r="AC61" s="41"/>
      <c r="AD61" s="42"/>
      <c r="AE61" s="43"/>
      <c r="AF61" s="41"/>
      <c r="AG61" s="42"/>
      <c r="AH61" s="43">
        <v>11</v>
      </c>
      <c r="AI61" s="41"/>
      <c r="AJ61" s="42"/>
      <c r="AK61" s="43">
        <v>4</v>
      </c>
    </row>
    <row r="62" spans="2:37" ht="15" customHeight="1">
      <c r="B62" s="379" t="s">
        <v>307</v>
      </c>
      <c r="C62" s="330" t="s">
        <v>10</v>
      </c>
      <c r="D62" s="331"/>
      <c r="E62" s="332"/>
      <c r="F62" s="330" t="s">
        <v>15</v>
      </c>
      <c r="G62" s="331"/>
      <c r="H62" s="332"/>
      <c r="I62" s="330" t="s">
        <v>17</v>
      </c>
      <c r="J62" s="331"/>
      <c r="K62" s="332"/>
      <c r="N62" s="375" t="s">
        <v>307</v>
      </c>
      <c r="O62" s="330" t="s">
        <v>10</v>
      </c>
      <c r="P62" s="331"/>
      <c r="Q62" s="332"/>
      <c r="R62" s="330" t="s">
        <v>15</v>
      </c>
      <c r="S62" s="331"/>
      <c r="T62" s="332"/>
      <c r="U62" s="330" t="s">
        <v>17</v>
      </c>
      <c r="V62" s="331"/>
      <c r="W62" s="332"/>
    </row>
    <row r="63" spans="2:37">
      <c r="B63" s="380"/>
      <c r="C63" s="30" t="s">
        <v>180</v>
      </c>
      <c r="D63" s="31" t="s">
        <v>41</v>
      </c>
      <c r="E63" s="31" t="s">
        <v>44</v>
      </c>
      <c r="F63" s="30" t="s">
        <v>180</v>
      </c>
      <c r="G63" s="31" t="s">
        <v>41</v>
      </c>
      <c r="H63" s="31" t="s">
        <v>44</v>
      </c>
      <c r="I63" s="30" t="s">
        <v>180</v>
      </c>
      <c r="J63" s="31" t="s">
        <v>41</v>
      </c>
      <c r="K63" s="31" t="s">
        <v>44</v>
      </c>
      <c r="N63" s="376"/>
      <c r="O63" s="30" t="s">
        <v>180</v>
      </c>
      <c r="P63" s="31" t="s">
        <v>41</v>
      </c>
      <c r="Q63" s="31" t="s">
        <v>44</v>
      </c>
      <c r="R63" s="30" t="s">
        <v>180</v>
      </c>
      <c r="S63" s="31" t="s">
        <v>41</v>
      </c>
      <c r="T63" s="31" t="s">
        <v>44</v>
      </c>
      <c r="U63" s="30" t="s">
        <v>180</v>
      </c>
      <c r="V63" s="31" t="s">
        <v>41</v>
      </c>
      <c r="W63" s="31" t="s">
        <v>44</v>
      </c>
    </row>
    <row r="64" spans="2:37">
      <c r="B64" s="32" t="s">
        <v>233</v>
      </c>
      <c r="C64" s="33">
        <v>41470000</v>
      </c>
      <c r="D64" s="32">
        <v>8</v>
      </c>
      <c r="E64" s="33">
        <f>+C64*D64</f>
        <v>331760000</v>
      </c>
      <c r="F64" s="33">
        <v>41850000</v>
      </c>
      <c r="G64" s="32">
        <v>12</v>
      </c>
      <c r="H64" s="33">
        <f>+F64*G64</f>
        <v>502200000</v>
      </c>
      <c r="I64" s="33">
        <v>41850000</v>
      </c>
      <c r="J64" s="32">
        <v>4</v>
      </c>
      <c r="K64" s="33">
        <f>+I64*J64</f>
        <v>167400000</v>
      </c>
      <c r="N64" s="32" t="s">
        <v>233</v>
      </c>
      <c r="O64" s="33">
        <v>41470000</v>
      </c>
      <c r="P64" s="32">
        <v>8</v>
      </c>
      <c r="Q64" s="33">
        <f>+O64*P64</f>
        <v>331760000</v>
      </c>
      <c r="R64" s="33">
        <v>41850000</v>
      </c>
      <c r="S64" s="32">
        <v>8</v>
      </c>
      <c r="T64" s="33">
        <f>+R64*S64</f>
        <v>334800000</v>
      </c>
      <c r="U64" s="33">
        <v>41850000</v>
      </c>
      <c r="V64" s="32">
        <v>2</v>
      </c>
      <c r="W64" s="33">
        <f>+U64*V64</f>
        <v>83700000</v>
      </c>
    </row>
    <row r="65" spans="2:23">
      <c r="B65" s="32" t="s">
        <v>234</v>
      </c>
      <c r="C65" s="33">
        <v>7258000</v>
      </c>
      <c r="D65" s="32">
        <v>8</v>
      </c>
      <c r="E65" s="33">
        <f>+C65*D65</f>
        <v>58064000</v>
      </c>
      <c r="F65" s="33">
        <v>9752000</v>
      </c>
      <c r="G65" s="32">
        <v>12</v>
      </c>
      <c r="H65" s="33">
        <f>+F65*G65</f>
        <v>117024000</v>
      </c>
      <c r="I65" s="33">
        <v>9752000</v>
      </c>
      <c r="J65" s="32">
        <v>4</v>
      </c>
      <c r="K65" s="33">
        <f>+I65*J65</f>
        <v>39008000</v>
      </c>
      <c r="N65" s="32" t="s">
        <v>234</v>
      </c>
      <c r="O65" s="33">
        <v>7258000</v>
      </c>
      <c r="P65" s="32">
        <v>8</v>
      </c>
      <c r="Q65" s="33">
        <f>+O65*P65</f>
        <v>58064000</v>
      </c>
      <c r="R65" s="33">
        <v>9752000</v>
      </c>
      <c r="S65" s="32">
        <v>8</v>
      </c>
      <c r="T65" s="33">
        <f>+R65*S65</f>
        <v>78016000</v>
      </c>
      <c r="U65" s="33">
        <v>9752000</v>
      </c>
      <c r="V65" s="32">
        <v>2</v>
      </c>
      <c r="W65" s="33">
        <f>+U65*V65</f>
        <v>19504000</v>
      </c>
    </row>
    <row r="66" spans="2:23">
      <c r="B66" s="32" t="s">
        <v>235</v>
      </c>
      <c r="C66" s="33">
        <v>6600</v>
      </c>
      <c r="D66" s="32">
        <v>0</v>
      </c>
      <c r="E66" s="33">
        <f t="shared" ref="E66:E72" si="29">+C66*D66</f>
        <v>0</v>
      </c>
      <c r="F66" s="33">
        <v>6600</v>
      </c>
      <c r="G66" s="32">
        <v>0</v>
      </c>
      <c r="H66" s="33">
        <f t="shared" ref="H66:H72" si="30">+F66*G66</f>
        <v>0</v>
      </c>
      <c r="I66" s="33">
        <v>6600</v>
      </c>
      <c r="J66" s="32">
        <v>0</v>
      </c>
      <c r="K66" s="33">
        <f t="shared" ref="K66:K72" si="31">+I66*J66</f>
        <v>0</v>
      </c>
      <c r="N66" s="32" t="s">
        <v>235</v>
      </c>
      <c r="O66" s="33">
        <v>4300</v>
      </c>
      <c r="P66" s="32">
        <v>0</v>
      </c>
      <c r="Q66" s="33">
        <f t="shared" ref="Q66:Q72" si="32">+O66*P66</f>
        <v>0</v>
      </c>
      <c r="R66" s="33">
        <v>4300</v>
      </c>
      <c r="S66" s="32">
        <v>0</v>
      </c>
      <c r="T66" s="33">
        <f t="shared" ref="T66:T72" si="33">+R66*S66</f>
        <v>0</v>
      </c>
      <c r="U66" s="33">
        <v>4300</v>
      </c>
      <c r="V66" s="32">
        <v>0</v>
      </c>
      <c r="W66" s="33">
        <f t="shared" ref="W66:W72" si="34">+U66*V66</f>
        <v>0</v>
      </c>
    </row>
    <row r="67" spans="2:23">
      <c r="B67" s="32" t="s">
        <v>236</v>
      </c>
      <c r="C67" s="33">
        <v>80300</v>
      </c>
      <c r="D67" s="61">
        <f>D52</f>
        <v>0</v>
      </c>
      <c r="E67" s="33">
        <f t="shared" si="29"/>
        <v>0</v>
      </c>
      <c r="F67" s="33">
        <v>80300</v>
      </c>
      <c r="G67" s="61">
        <f>G52</f>
        <v>0</v>
      </c>
      <c r="H67" s="33">
        <f t="shared" si="30"/>
        <v>0</v>
      </c>
      <c r="I67" s="33">
        <v>80300</v>
      </c>
      <c r="J67" s="61">
        <f>J52</f>
        <v>0</v>
      </c>
      <c r="K67" s="33">
        <f t="shared" si="31"/>
        <v>0</v>
      </c>
      <c r="N67" s="32" t="s">
        <v>236</v>
      </c>
      <c r="O67" s="33">
        <v>80300</v>
      </c>
      <c r="P67" s="61">
        <f>P52</f>
        <v>0</v>
      </c>
      <c r="Q67" s="33">
        <f t="shared" si="32"/>
        <v>0</v>
      </c>
      <c r="R67" s="33">
        <v>80300</v>
      </c>
      <c r="S67" s="61">
        <f>+AE39-AG53</f>
        <v>272.50526315789472</v>
      </c>
      <c r="T67" s="33">
        <f t="shared" si="33"/>
        <v>21882172.631578945</v>
      </c>
      <c r="U67" s="33">
        <v>80300</v>
      </c>
      <c r="V67" s="61">
        <f>+AH39-AJ53</f>
        <v>40.911111111110998</v>
      </c>
      <c r="W67" s="33">
        <f t="shared" si="34"/>
        <v>3285162.2222222132</v>
      </c>
    </row>
    <row r="68" spans="2:23">
      <c r="B68" s="32" t="s">
        <v>237</v>
      </c>
      <c r="C68" s="33">
        <v>1100000</v>
      </c>
      <c r="D68" s="32">
        <v>0</v>
      </c>
      <c r="E68" s="33">
        <f t="shared" si="29"/>
        <v>0</v>
      </c>
      <c r="F68" s="33">
        <v>1100000</v>
      </c>
      <c r="G68" s="32">
        <v>0</v>
      </c>
      <c r="H68" s="33">
        <f t="shared" si="30"/>
        <v>0</v>
      </c>
      <c r="I68" s="33">
        <v>1100000</v>
      </c>
      <c r="J68" s="32">
        <v>0</v>
      </c>
      <c r="K68" s="33">
        <f t="shared" si="31"/>
        <v>0</v>
      </c>
      <c r="N68" s="32" t="s">
        <v>237</v>
      </c>
      <c r="O68" s="33">
        <v>870000</v>
      </c>
      <c r="P68" s="32">
        <v>0</v>
      </c>
      <c r="Q68" s="33">
        <f t="shared" si="32"/>
        <v>0</v>
      </c>
      <c r="R68" s="33">
        <v>870000</v>
      </c>
      <c r="S68" s="32">
        <v>0</v>
      </c>
      <c r="T68" s="33">
        <f t="shared" si="33"/>
        <v>0</v>
      </c>
      <c r="U68" s="33">
        <v>870000</v>
      </c>
      <c r="V68" s="32">
        <v>0</v>
      </c>
      <c r="W68" s="33">
        <f t="shared" si="34"/>
        <v>0</v>
      </c>
    </row>
    <row r="69" spans="2:23">
      <c r="B69" s="32" t="s">
        <v>238</v>
      </c>
      <c r="C69" s="33">
        <v>550000</v>
      </c>
      <c r="D69" s="32">
        <v>0</v>
      </c>
      <c r="E69" s="33">
        <f t="shared" si="29"/>
        <v>0</v>
      </c>
      <c r="F69" s="33">
        <v>550000</v>
      </c>
      <c r="G69" s="32">
        <v>0</v>
      </c>
      <c r="H69" s="33">
        <f t="shared" si="30"/>
        <v>0</v>
      </c>
      <c r="I69" s="33">
        <v>550000</v>
      </c>
      <c r="J69" s="32">
        <v>0</v>
      </c>
      <c r="K69" s="33">
        <f t="shared" si="31"/>
        <v>0</v>
      </c>
      <c r="N69" s="32" t="s">
        <v>238</v>
      </c>
      <c r="O69" s="33">
        <v>435000</v>
      </c>
      <c r="P69" s="32">
        <v>0</v>
      </c>
      <c r="Q69" s="33">
        <f t="shared" si="32"/>
        <v>0</v>
      </c>
      <c r="R69" s="33">
        <v>435000</v>
      </c>
      <c r="S69" s="32">
        <v>0</v>
      </c>
      <c r="T69" s="33">
        <f t="shared" si="33"/>
        <v>0</v>
      </c>
      <c r="U69" s="33">
        <v>435000</v>
      </c>
      <c r="V69" s="32">
        <v>0</v>
      </c>
      <c r="W69" s="33">
        <f t="shared" si="34"/>
        <v>0</v>
      </c>
    </row>
    <row r="70" spans="2:23">
      <c r="B70" s="32" t="s">
        <v>239</v>
      </c>
      <c r="C70" s="33">
        <v>420000</v>
      </c>
      <c r="D70" s="32">
        <v>0</v>
      </c>
      <c r="E70" s="33">
        <f t="shared" si="29"/>
        <v>0</v>
      </c>
      <c r="F70" s="33">
        <v>420000</v>
      </c>
      <c r="G70" s="32">
        <v>0</v>
      </c>
      <c r="H70" s="33">
        <f t="shared" si="30"/>
        <v>0</v>
      </c>
      <c r="I70" s="33">
        <v>420000</v>
      </c>
      <c r="J70" s="32">
        <v>0</v>
      </c>
      <c r="K70" s="33">
        <f t="shared" si="31"/>
        <v>0</v>
      </c>
      <c r="N70" s="32" t="s">
        <v>239</v>
      </c>
      <c r="O70" s="33">
        <v>420000</v>
      </c>
      <c r="P70" s="32">
        <v>0</v>
      </c>
      <c r="Q70" s="33">
        <f t="shared" si="32"/>
        <v>0</v>
      </c>
      <c r="R70" s="33">
        <v>420000</v>
      </c>
      <c r="S70" s="32">
        <v>0</v>
      </c>
      <c r="T70" s="33">
        <f t="shared" si="33"/>
        <v>0</v>
      </c>
      <c r="U70" s="33">
        <v>420000</v>
      </c>
      <c r="V70" s="32">
        <v>0</v>
      </c>
      <c r="W70" s="33">
        <f t="shared" si="34"/>
        <v>0</v>
      </c>
    </row>
    <row r="71" spans="2:23">
      <c r="B71" s="32" t="s">
        <v>240</v>
      </c>
      <c r="C71" s="33">
        <v>450000</v>
      </c>
      <c r="D71" s="32">
        <v>0</v>
      </c>
      <c r="E71" s="33">
        <f t="shared" si="29"/>
        <v>0</v>
      </c>
      <c r="F71" s="33">
        <v>450000</v>
      </c>
      <c r="G71" s="32">
        <v>0</v>
      </c>
      <c r="H71" s="33">
        <f t="shared" si="30"/>
        <v>0</v>
      </c>
      <c r="I71" s="33">
        <v>450000</v>
      </c>
      <c r="J71" s="32">
        <v>0</v>
      </c>
      <c r="K71" s="33">
        <f t="shared" si="31"/>
        <v>0</v>
      </c>
      <c r="N71" s="32" t="s">
        <v>240</v>
      </c>
      <c r="O71" s="33">
        <v>450000</v>
      </c>
      <c r="P71" s="32">
        <v>0</v>
      </c>
      <c r="Q71" s="33">
        <f t="shared" si="32"/>
        <v>0</v>
      </c>
      <c r="R71" s="33">
        <v>450000</v>
      </c>
      <c r="S71" s="32">
        <v>0</v>
      </c>
      <c r="T71" s="33">
        <f t="shared" si="33"/>
        <v>0</v>
      </c>
      <c r="U71" s="33">
        <v>450000</v>
      </c>
      <c r="V71" s="32">
        <v>0</v>
      </c>
      <c r="W71" s="33">
        <f t="shared" si="34"/>
        <v>0</v>
      </c>
    </row>
    <row r="72" spans="2:23">
      <c r="B72" s="32" t="s">
        <v>183</v>
      </c>
      <c r="C72" s="33">
        <v>5700</v>
      </c>
      <c r="D72" s="32">
        <v>0</v>
      </c>
      <c r="E72" s="33">
        <f t="shared" si="29"/>
        <v>0</v>
      </c>
      <c r="F72" s="33">
        <v>5700</v>
      </c>
      <c r="G72" s="32">
        <v>0</v>
      </c>
      <c r="H72" s="33">
        <f t="shared" si="30"/>
        <v>0</v>
      </c>
      <c r="I72" s="33">
        <v>5700</v>
      </c>
      <c r="J72" s="32">
        <v>0</v>
      </c>
      <c r="K72" s="33">
        <f t="shared" si="31"/>
        <v>0</v>
      </c>
      <c r="N72" s="32" t="s">
        <v>241</v>
      </c>
      <c r="O72" s="33">
        <v>5700</v>
      </c>
      <c r="P72" s="32">
        <v>0</v>
      </c>
      <c r="Q72" s="33">
        <f t="shared" si="32"/>
        <v>0</v>
      </c>
      <c r="R72" s="33">
        <v>5700</v>
      </c>
      <c r="S72" s="32">
        <v>0</v>
      </c>
      <c r="T72" s="33">
        <f t="shared" si="33"/>
        <v>0</v>
      </c>
      <c r="U72" s="33">
        <v>5700</v>
      </c>
      <c r="V72" s="32">
        <v>0</v>
      </c>
      <c r="W72" s="33">
        <f t="shared" si="34"/>
        <v>0</v>
      </c>
    </row>
    <row r="73" spans="2:23" s="2" customFormat="1">
      <c r="B73" s="35"/>
      <c r="C73" s="35"/>
      <c r="D73" s="31" t="s">
        <v>48</v>
      </c>
      <c r="E73" s="36">
        <f>SUM(E64:E72)</f>
        <v>389824000</v>
      </c>
      <c r="F73" s="35"/>
      <c r="G73" s="31" t="s">
        <v>48</v>
      </c>
      <c r="H73" s="36">
        <f>SUM(H64:H72)</f>
        <v>619224000</v>
      </c>
      <c r="I73" s="35"/>
      <c r="J73" s="31" t="s">
        <v>48</v>
      </c>
      <c r="K73" s="36">
        <f>SUM(K64:K72)</f>
        <v>206408000</v>
      </c>
      <c r="N73" s="35"/>
      <c r="O73" s="35"/>
      <c r="P73" s="31" t="s">
        <v>48</v>
      </c>
      <c r="Q73" s="36">
        <f>SUM(Q64:Q72)</f>
        <v>389824000</v>
      </c>
      <c r="R73" s="35"/>
      <c r="S73" s="31" t="s">
        <v>48</v>
      </c>
      <c r="T73" s="51">
        <f>SUM(T64:T72)</f>
        <v>434698172.63157892</v>
      </c>
      <c r="U73" s="35"/>
      <c r="V73" s="31" t="s">
        <v>48</v>
      </c>
      <c r="W73" s="36">
        <f>SUM(W64:W72)</f>
        <v>106489162.22222221</v>
      </c>
    </row>
    <row r="74" spans="2:23" s="2" customFormat="1">
      <c r="B74" s="41"/>
      <c r="C74" s="41"/>
      <c r="D74" s="42"/>
      <c r="E74" s="43">
        <f>E73/D64</f>
        <v>48728000</v>
      </c>
      <c r="F74" s="41"/>
      <c r="G74" s="42"/>
      <c r="H74" s="43">
        <f>H73/G64</f>
        <v>51602000</v>
      </c>
      <c r="I74" s="41"/>
      <c r="J74" s="42"/>
      <c r="K74" s="43">
        <f>K73/J64</f>
        <v>51602000</v>
      </c>
      <c r="O74" s="62">
        <f>O64+O65</f>
        <v>48728000</v>
      </c>
      <c r="P74" s="42"/>
      <c r="Q74" s="43"/>
      <c r="R74" s="62">
        <f>R64+R65</f>
        <v>51602000</v>
      </c>
      <c r="S74" s="42"/>
      <c r="T74" s="43"/>
      <c r="U74" s="62">
        <f>U64+U65</f>
        <v>51602000</v>
      </c>
      <c r="V74" s="42"/>
      <c r="W74" s="43"/>
    </row>
    <row r="75" spans="2:23" s="2" customFormat="1">
      <c r="B75" s="41"/>
      <c r="C75" s="41"/>
      <c r="D75" s="42"/>
      <c r="E75" s="43"/>
      <c r="F75" s="41"/>
      <c r="G75" s="42"/>
      <c r="H75" s="43"/>
      <c r="I75" s="41"/>
      <c r="J75" s="42"/>
      <c r="K75" s="43"/>
      <c r="O75" s="41"/>
      <c r="P75" s="42"/>
      <c r="Q75" s="43"/>
      <c r="R75" s="41"/>
      <c r="S75" s="42"/>
      <c r="T75" s="43"/>
      <c r="U75" s="41"/>
      <c r="V75" s="42"/>
      <c r="W75" s="43"/>
    </row>
    <row r="76" spans="2:23" s="2" customFormat="1">
      <c r="B76" s="41"/>
      <c r="C76" s="41"/>
      <c r="D76" s="42"/>
      <c r="E76" s="43"/>
      <c r="F76" s="41"/>
      <c r="G76" s="42"/>
      <c r="H76" s="43"/>
      <c r="I76" s="41"/>
      <c r="J76" s="42"/>
      <c r="K76" s="43"/>
      <c r="N76" s="41"/>
      <c r="O76" s="41"/>
      <c r="P76" s="42"/>
      <c r="Q76" s="43"/>
      <c r="R76" s="41"/>
      <c r="S76" s="42"/>
      <c r="T76" s="95">
        <f>+T73+W73</f>
        <v>541187334.85380113</v>
      </c>
      <c r="U76" s="96">
        <f>+T76/23000</f>
        <v>23529.884124078311</v>
      </c>
      <c r="V76" s="42"/>
      <c r="W76" s="43"/>
    </row>
    <row r="77" spans="2:23" s="2" customFormat="1">
      <c r="B77" s="41"/>
      <c r="C77" s="29" t="s">
        <v>308</v>
      </c>
      <c r="D77" s="29"/>
      <c r="E77" s="29"/>
      <c r="F77" s="29" t="s">
        <v>309</v>
      </c>
      <c r="G77" s="29"/>
      <c r="H77" s="29"/>
      <c r="I77" s="29" t="s">
        <v>310</v>
      </c>
      <c r="J77" s="29"/>
      <c r="K77" s="29"/>
      <c r="N77" s="41"/>
      <c r="O77" s="41"/>
      <c r="P77" s="42"/>
      <c r="Q77" s="43"/>
      <c r="R77" s="41"/>
      <c r="S77" s="42"/>
      <c r="T77" s="52"/>
      <c r="U77" s="41"/>
      <c r="V77" s="42"/>
      <c r="W77" s="43"/>
    </row>
    <row r="78" spans="2:23">
      <c r="B78" s="379" t="s">
        <v>311</v>
      </c>
      <c r="C78" s="330" t="s">
        <v>10</v>
      </c>
      <c r="D78" s="331"/>
      <c r="E78" s="332"/>
      <c r="F78" s="330" t="s">
        <v>15</v>
      </c>
      <c r="G78" s="331"/>
      <c r="H78" s="332"/>
      <c r="I78" s="330" t="s">
        <v>17</v>
      </c>
      <c r="J78" s="331"/>
      <c r="K78" s="332"/>
      <c r="N78" s="340" t="s">
        <v>4</v>
      </c>
      <c r="O78" s="330" t="s">
        <v>10</v>
      </c>
      <c r="P78" s="331"/>
      <c r="Q78" s="332"/>
      <c r="R78" s="330" t="s">
        <v>15</v>
      </c>
      <c r="S78" s="331"/>
      <c r="T78" s="332"/>
      <c r="U78" s="330" t="s">
        <v>17</v>
      </c>
      <c r="V78" s="331"/>
      <c r="W78" s="332"/>
    </row>
    <row r="79" spans="2:23">
      <c r="B79" s="380"/>
      <c r="C79" s="30" t="s">
        <v>180</v>
      </c>
      <c r="D79" s="31" t="s">
        <v>41</v>
      </c>
      <c r="E79" s="31" t="s">
        <v>44</v>
      </c>
      <c r="F79" s="30" t="s">
        <v>180</v>
      </c>
      <c r="G79" s="31" t="s">
        <v>41</v>
      </c>
      <c r="H79" s="31" t="s">
        <v>44</v>
      </c>
      <c r="I79" s="30" t="s">
        <v>180</v>
      </c>
      <c r="J79" s="31" t="s">
        <v>41</v>
      </c>
      <c r="K79" s="31" t="s">
        <v>44</v>
      </c>
      <c r="N79" s="341"/>
      <c r="O79" s="30" t="s">
        <v>180</v>
      </c>
      <c r="P79" s="31" t="s">
        <v>41</v>
      </c>
      <c r="Q79" s="31" t="s">
        <v>44</v>
      </c>
      <c r="R79" s="30" t="s">
        <v>180</v>
      </c>
      <c r="S79" s="31" t="s">
        <v>41</v>
      </c>
      <c r="T79" s="31" t="s">
        <v>44</v>
      </c>
      <c r="U79" s="30" t="s">
        <v>180</v>
      </c>
      <c r="V79" s="31" t="s">
        <v>41</v>
      </c>
      <c r="W79" s="31" t="s">
        <v>44</v>
      </c>
    </row>
    <row r="80" spans="2:23">
      <c r="B80" s="32" t="s">
        <v>233</v>
      </c>
      <c r="C80" s="33">
        <v>31190000</v>
      </c>
      <c r="D80" s="32">
        <v>2</v>
      </c>
      <c r="E80" s="33">
        <f t="shared" ref="E80:E88" si="35">+C80*D80</f>
        <v>62380000</v>
      </c>
      <c r="F80" s="33">
        <v>30080000</v>
      </c>
      <c r="G80" s="32">
        <v>1</v>
      </c>
      <c r="H80" s="33">
        <f t="shared" ref="H80:H88" si="36">+F80*G80</f>
        <v>30080000</v>
      </c>
      <c r="I80" s="33">
        <v>33480000</v>
      </c>
      <c r="J80" s="32">
        <v>1</v>
      </c>
      <c r="K80" s="33">
        <f t="shared" ref="K80:K88" si="37">+I80*J80</f>
        <v>33480000</v>
      </c>
      <c r="N80" s="32" t="s">
        <v>233</v>
      </c>
      <c r="O80" s="33"/>
      <c r="P80" s="32"/>
      <c r="Q80" s="33">
        <f t="shared" ref="Q80:Q88" si="38">+O80*P80</f>
        <v>0</v>
      </c>
      <c r="R80" s="33"/>
      <c r="S80" s="32"/>
      <c r="T80" s="33">
        <f t="shared" ref="T80:T88" si="39">+R80*S80</f>
        <v>0</v>
      </c>
      <c r="U80" s="33"/>
      <c r="V80" s="32"/>
      <c r="W80" s="33">
        <f t="shared" ref="W80:W88" si="40">+U80*V80</f>
        <v>0</v>
      </c>
    </row>
    <row r="81" spans="2:24">
      <c r="B81" s="32" t="s">
        <v>234</v>
      </c>
      <c r="C81" s="33">
        <v>7442417</v>
      </c>
      <c r="D81" s="32">
        <v>2</v>
      </c>
      <c r="E81" s="33">
        <f t="shared" si="35"/>
        <v>14884834</v>
      </c>
      <c r="F81" s="33">
        <v>13361868</v>
      </c>
      <c r="G81" s="32">
        <v>1</v>
      </c>
      <c r="H81" s="33">
        <f t="shared" si="36"/>
        <v>13361868</v>
      </c>
      <c r="I81" s="33">
        <v>10598868</v>
      </c>
      <c r="J81" s="32">
        <v>1</v>
      </c>
      <c r="K81" s="33">
        <f t="shared" si="37"/>
        <v>10598868</v>
      </c>
      <c r="N81" s="32" t="s">
        <v>234</v>
      </c>
      <c r="O81" s="33"/>
      <c r="P81" s="32"/>
      <c r="Q81" s="33">
        <f t="shared" si="38"/>
        <v>0</v>
      </c>
      <c r="R81" s="33"/>
      <c r="S81" s="32"/>
      <c r="T81" s="33">
        <f t="shared" si="39"/>
        <v>0</v>
      </c>
      <c r="U81" s="33"/>
      <c r="V81" s="32"/>
      <c r="W81" s="33">
        <f t="shared" si="40"/>
        <v>0</v>
      </c>
    </row>
    <row r="82" spans="2:24">
      <c r="B82" s="32" t="s">
        <v>235</v>
      </c>
      <c r="C82" s="33">
        <v>6600</v>
      </c>
      <c r="D82" s="32">
        <v>0</v>
      </c>
      <c r="E82" s="33">
        <f t="shared" si="35"/>
        <v>0</v>
      </c>
      <c r="F82" s="33">
        <v>5700</v>
      </c>
      <c r="G82" s="32">
        <v>0</v>
      </c>
      <c r="H82" s="33">
        <f t="shared" si="36"/>
        <v>0</v>
      </c>
      <c r="I82" s="33">
        <v>5700</v>
      </c>
      <c r="J82" s="32">
        <v>0</v>
      </c>
      <c r="K82" s="33">
        <f t="shared" si="37"/>
        <v>0</v>
      </c>
      <c r="N82" s="32" t="s">
        <v>235</v>
      </c>
      <c r="O82" s="33"/>
      <c r="P82" s="32"/>
      <c r="Q82" s="33">
        <f t="shared" si="38"/>
        <v>0</v>
      </c>
      <c r="R82" s="33"/>
      <c r="S82" s="32"/>
      <c r="T82" s="33">
        <f t="shared" si="39"/>
        <v>0</v>
      </c>
      <c r="U82" s="33"/>
      <c r="V82" s="32"/>
      <c r="W82" s="33">
        <f t="shared" si="40"/>
        <v>0</v>
      </c>
    </row>
    <row r="83" spans="2:24">
      <c r="B83" s="32" t="s">
        <v>236</v>
      </c>
      <c r="C83" s="33">
        <v>80300</v>
      </c>
      <c r="D83" s="32">
        <v>8</v>
      </c>
      <c r="E83" s="33">
        <f t="shared" si="35"/>
        <v>642400</v>
      </c>
      <c r="F83" s="33">
        <v>80300</v>
      </c>
      <c r="G83" s="32">
        <v>84</v>
      </c>
      <c r="H83" s="33">
        <f t="shared" si="36"/>
        <v>6745200</v>
      </c>
      <c r="I83" s="33">
        <v>80300</v>
      </c>
      <c r="J83" s="32">
        <v>72</v>
      </c>
      <c r="K83" s="33">
        <f t="shared" si="37"/>
        <v>5781600</v>
      </c>
      <c r="N83" s="32" t="s">
        <v>236</v>
      </c>
      <c r="O83" s="33"/>
      <c r="P83" s="32"/>
      <c r="Q83" s="33">
        <f t="shared" si="38"/>
        <v>0</v>
      </c>
      <c r="R83" s="33"/>
      <c r="S83" s="32"/>
      <c r="T83" s="33">
        <f t="shared" si="39"/>
        <v>0</v>
      </c>
      <c r="U83" s="33"/>
      <c r="V83" s="32"/>
      <c r="W83" s="33">
        <f t="shared" si="40"/>
        <v>0</v>
      </c>
    </row>
    <row r="84" spans="2:24">
      <c r="B84" s="32" t="s">
        <v>237</v>
      </c>
      <c r="C84" s="33">
        <v>1000000</v>
      </c>
      <c r="D84" s="32">
        <v>6</v>
      </c>
      <c r="E84" s="33">
        <f t="shared" si="35"/>
        <v>6000000</v>
      </c>
      <c r="F84" s="33">
        <v>1100000</v>
      </c>
      <c r="G84" s="32">
        <v>4</v>
      </c>
      <c r="H84" s="33">
        <f t="shared" si="36"/>
        <v>4400000</v>
      </c>
      <c r="I84" s="33">
        <v>1100000</v>
      </c>
      <c r="J84" s="32">
        <v>5</v>
      </c>
      <c r="K84" s="33">
        <f t="shared" si="37"/>
        <v>5500000</v>
      </c>
      <c r="N84" s="32" t="s">
        <v>237</v>
      </c>
      <c r="O84" s="33"/>
      <c r="P84" s="32"/>
      <c r="Q84" s="33">
        <f t="shared" si="38"/>
        <v>0</v>
      </c>
      <c r="R84" s="33"/>
      <c r="S84" s="32"/>
      <c r="T84" s="33">
        <f t="shared" si="39"/>
        <v>0</v>
      </c>
      <c r="U84" s="33"/>
      <c r="V84" s="32"/>
      <c r="W84" s="33">
        <f t="shared" si="40"/>
        <v>0</v>
      </c>
    </row>
    <row r="85" spans="2:24">
      <c r="B85" s="32" t="s">
        <v>238</v>
      </c>
      <c r="C85" s="33">
        <v>500000</v>
      </c>
      <c r="D85" s="32">
        <v>0</v>
      </c>
      <c r="E85" s="33">
        <f t="shared" si="35"/>
        <v>0</v>
      </c>
      <c r="F85" s="33">
        <v>550000</v>
      </c>
      <c r="G85" s="32">
        <v>0</v>
      </c>
      <c r="H85" s="33">
        <f t="shared" si="36"/>
        <v>0</v>
      </c>
      <c r="I85" s="33">
        <v>550000</v>
      </c>
      <c r="J85" s="32">
        <v>0</v>
      </c>
      <c r="K85" s="33">
        <f t="shared" si="37"/>
        <v>0</v>
      </c>
      <c r="N85" s="32" t="s">
        <v>238</v>
      </c>
      <c r="O85" s="33"/>
      <c r="P85" s="32"/>
      <c r="Q85" s="33">
        <f t="shared" si="38"/>
        <v>0</v>
      </c>
      <c r="R85" s="33"/>
      <c r="S85" s="32"/>
      <c r="T85" s="33">
        <f t="shared" si="39"/>
        <v>0</v>
      </c>
      <c r="U85" s="33"/>
      <c r="V85" s="32"/>
      <c r="W85" s="33">
        <f t="shared" si="40"/>
        <v>0</v>
      </c>
    </row>
    <row r="86" spans="2:24">
      <c r="B86" s="32" t="s">
        <v>239</v>
      </c>
      <c r="C86" s="33">
        <v>420000</v>
      </c>
      <c r="D86" s="32">
        <v>0</v>
      </c>
      <c r="E86" s="33">
        <f t="shared" si="35"/>
        <v>0</v>
      </c>
      <c r="F86" s="33">
        <v>420000</v>
      </c>
      <c r="G86" s="32">
        <v>0</v>
      </c>
      <c r="H86" s="33">
        <f t="shared" si="36"/>
        <v>0</v>
      </c>
      <c r="I86" s="33">
        <v>420000</v>
      </c>
      <c r="J86" s="32">
        <v>0</v>
      </c>
      <c r="K86" s="33">
        <f t="shared" si="37"/>
        <v>0</v>
      </c>
      <c r="N86" s="32" t="s">
        <v>239</v>
      </c>
      <c r="O86" s="33"/>
      <c r="P86" s="32"/>
      <c r="Q86" s="33">
        <f t="shared" si="38"/>
        <v>0</v>
      </c>
      <c r="R86" s="33"/>
      <c r="S86" s="32"/>
      <c r="T86" s="33">
        <f t="shared" si="39"/>
        <v>0</v>
      </c>
      <c r="U86" s="33"/>
      <c r="V86" s="32"/>
      <c r="W86" s="33">
        <f t="shared" si="40"/>
        <v>0</v>
      </c>
    </row>
    <row r="87" spans="2:24">
      <c r="B87" s="32" t="s">
        <v>240</v>
      </c>
      <c r="C87" s="33">
        <v>450000</v>
      </c>
      <c r="D87" s="32">
        <v>0</v>
      </c>
      <c r="E87" s="33">
        <f t="shared" si="35"/>
        <v>0</v>
      </c>
      <c r="F87" s="33">
        <v>450000</v>
      </c>
      <c r="G87" s="32">
        <v>0</v>
      </c>
      <c r="H87" s="33">
        <f t="shared" si="36"/>
        <v>0</v>
      </c>
      <c r="I87" s="33">
        <v>450000</v>
      </c>
      <c r="J87" s="32">
        <v>0</v>
      </c>
      <c r="K87" s="33">
        <f t="shared" si="37"/>
        <v>0</v>
      </c>
      <c r="N87" s="32" t="s">
        <v>240</v>
      </c>
      <c r="O87" s="33"/>
      <c r="P87" s="32"/>
      <c r="Q87" s="33">
        <f t="shared" si="38"/>
        <v>0</v>
      </c>
      <c r="R87" s="33"/>
      <c r="S87" s="32"/>
      <c r="T87" s="33">
        <f t="shared" si="39"/>
        <v>0</v>
      </c>
      <c r="U87" s="33"/>
      <c r="V87" s="32"/>
      <c r="W87" s="33">
        <f t="shared" si="40"/>
        <v>0</v>
      </c>
    </row>
    <row r="88" spans="2:24">
      <c r="B88" s="32" t="s">
        <v>183</v>
      </c>
      <c r="C88" s="33">
        <v>5700</v>
      </c>
      <c r="D88" s="32">
        <v>43</v>
      </c>
      <c r="E88" s="33">
        <f t="shared" si="35"/>
        <v>245100</v>
      </c>
      <c r="F88" s="33">
        <v>5700</v>
      </c>
      <c r="G88" s="32">
        <v>1909</v>
      </c>
      <c r="H88" s="33">
        <f t="shared" si="36"/>
        <v>10881300</v>
      </c>
      <c r="I88" s="33">
        <v>5700</v>
      </c>
      <c r="J88" s="32">
        <v>1695</v>
      </c>
      <c r="K88" s="33">
        <f t="shared" si="37"/>
        <v>9661500</v>
      </c>
      <c r="N88" s="32" t="s">
        <v>241</v>
      </c>
      <c r="O88" s="33"/>
      <c r="P88" s="32"/>
      <c r="Q88" s="33">
        <f t="shared" si="38"/>
        <v>0</v>
      </c>
      <c r="R88" s="33"/>
      <c r="S88" s="32"/>
      <c r="T88" s="33">
        <f t="shared" si="39"/>
        <v>0</v>
      </c>
      <c r="U88" s="33"/>
      <c r="V88" s="32"/>
      <c r="W88" s="33">
        <f t="shared" si="40"/>
        <v>0</v>
      </c>
    </row>
    <row r="89" spans="2:24" s="2" customFormat="1">
      <c r="B89" s="35"/>
      <c r="C89" s="35"/>
      <c r="D89" s="31" t="s">
        <v>48</v>
      </c>
      <c r="E89" s="36">
        <f>SUM(E80:E88)</f>
        <v>84152334</v>
      </c>
      <c r="F89" s="35"/>
      <c r="G89" s="31" t="s">
        <v>48</v>
      </c>
      <c r="H89" s="36">
        <f>SUM(H80:H88)</f>
        <v>65468368</v>
      </c>
      <c r="I89" s="35"/>
      <c r="J89" s="31" t="s">
        <v>48</v>
      </c>
      <c r="K89" s="36">
        <f>SUM(K80:K88)</f>
        <v>65021968</v>
      </c>
      <c r="N89" s="35"/>
      <c r="O89" s="35"/>
      <c r="P89" s="31" t="s">
        <v>48</v>
      </c>
      <c r="Q89" s="36">
        <f>SUM(Q80:Q88)</f>
        <v>0</v>
      </c>
      <c r="R89" s="35"/>
      <c r="S89" s="31" t="s">
        <v>48</v>
      </c>
      <c r="T89" s="51">
        <f>SUM(T80:T88)</f>
        <v>0</v>
      </c>
      <c r="U89" s="35"/>
      <c r="V89" s="31" t="s">
        <v>48</v>
      </c>
      <c r="W89" s="36">
        <f>SUM(W80:W88)</f>
        <v>0</v>
      </c>
    </row>
    <row r="90" spans="2:24">
      <c r="K90" s="49">
        <f>(E15+H15+K15)/3</f>
        <v>674875672.48809528</v>
      </c>
      <c r="W90" s="49">
        <f>(Q15+T15+W15)/3</f>
        <v>333396510.71031743</v>
      </c>
    </row>
    <row r="91" spans="2:24">
      <c r="B91" s="41" t="s">
        <v>227</v>
      </c>
      <c r="C91" s="29" t="s">
        <v>312</v>
      </c>
      <c r="F91" s="29" t="s">
        <v>309</v>
      </c>
      <c r="I91" s="29" t="s">
        <v>313</v>
      </c>
      <c r="N91" s="32"/>
      <c r="O91" s="58" t="s">
        <v>212</v>
      </c>
      <c r="P91" s="32"/>
      <c r="Q91" s="58" t="s">
        <v>314</v>
      </c>
      <c r="W91" s="49"/>
    </row>
    <row r="92" spans="2:24">
      <c r="B92" s="379" t="s">
        <v>315</v>
      </c>
      <c r="C92" s="330" t="s">
        <v>316</v>
      </c>
      <c r="D92" s="331"/>
      <c r="E92" s="332"/>
      <c r="F92" s="330" t="s">
        <v>317</v>
      </c>
      <c r="G92" s="331"/>
      <c r="H92" s="332"/>
      <c r="I92" s="377" t="s">
        <v>318</v>
      </c>
      <c r="J92" s="377"/>
      <c r="K92" s="377"/>
      <c r="L92" s="69"/>
      <c r="M92" s="69"/>
      <c r="N92" s="83" t="s">
        <v>97</v>
      </c>
      <c r="O92" s="84">
        <f>SUM($E$45,$E$59,E103,$H$45,$H$59,H103,$K$45,$K$59,K103)/47</f>
        <v>52142855.981509626</v>
      </c>
      <c r="P92" s="83"/>
      <c r="Q92" s="90">
        <f>SUM($Q$45,$Q$73,E103,$T$45,$T$73,H103,$W$45,$W$73,K103)/47</f>
        <v>43941054.595420286</v>
      </c>
      <c r="R92" s="38"/>
      <c r="S92" s="38"/>
      <c r="T92" s="38"/>
      <c r="U92" s="38"/>
      <c r="V92" s="69"/>
      <c r="W92" s="69"/>
      <c r="X92" s="69"/>
    </row>
    <row r="93" spans="2:24">
      <c r="B93" s="380"/>
      <c r="C93" s="30" t="s">
        <v>180</v>
      </c>
      <c r="D93" s="31" t="s">
        <v>41</v>
      </c>
      <c r="E93" s="31" t="s">
        <v>44</v>
      </c>
      <c r="F93" s="30" t="s">
        <v>180</v>
      </c>
      <c r="G93" s="31" t="s">
        <v>41</v>
      </c>
      <c r="H93" s="31" t="s">
        <v>44</v>
      </c>
      <c r="I93" s="30" t="s">
        <v>180</v>
      </c>
      <c r="J93" s="31" t="s">
        <v>41</v>
      </c>
      <c r="K93" s="31" t="s">
        <v>44</v>
      </c>
      <c r="L93" s="70"/>
      <c r="M93" s="42"/>
      <c r="N93" s="85" t="s">
        <v>98</v>
      </c>
      <c r="O93" s="84">
        <f>SUM($E$45,$E$59,E118,$H$45,$H$59,H118,$K$45,$K$59,K118)/47</f>
        <v>52069451.726190478</v>
      </c>
      <c r="P93" s="31"/>
      <c r="Q93" s="90">
        <f>SUM($Q$45,$Q$73,E118,$T$45,$T$73,H118,$W$45,$W$73,K118)/47</f>
        <v>43867650.340101138</v>
      </c>
      <c r="R93" s="38"/>
      <c r="S93" s="38"/>
      <c r="T93" s="71"/>
      <c r="U93" s="38"/>
      <c r="V93" s="70"/>
      <c r="W93" s="42"/>
      <c r="X93" s="42"/>
    </row>
    <row r="94" spans="2:24">
      <c r="B94" s="32" t="s">
        <v>233</v>
      </c>
      <c r="C94" s="82">
        <v>31384000</v>
      </c>
      <c r="D94" s="32">
        <v>2</v>
      </c>
      <c r="E94" s="33">
        <f t="shared" ref="E94:E102" si="41">+C94*D94</f>
        <v>62768000</v>
      </c>
      <c r="F94" s="33">
        <v>31913000</v>
      </c>
      <c r="G94" s="32">
        <v>1</v>
      </c>
      <c r="H94" s="33">
        <f t="shared" ref="H94:H102" si="42">+F94*G94</f>
        <v>31913000</v>
      </c>
      <c r="I94" s="33">
        <v>33063000</v>
      </c>
      <c r="J94" s="32">
        <v>1</v>
      </c>
      <c r="K94" s="33">
        <f t="shared" ref="K94:K102" si="43">+I94*J94</f>
        <v>33063000</v>
      </c>
      <c r="L94" s="71"/>
      <c r="M94" s="38"/>
      <c r="N94" s="71"/>
      <c r="O94" s="71"/>
      <c r="P94" s="38"/>
      <c r="Q94" s="71"/>
      <c r="R94" s="38"/>
      <c r="S94" s="38"/>
      <c r="T94" s="71"/>
      <c r="U94" s="38"/>
      <c r="V94" s="69"/>
      <c r="W94" s="69"/>
      <c r="X94" s="69"/>
    </row>
    <row r="95" spans="2:24">
      <c r="B95" s="32" t="s">
        <v>234</v>
      </c>
      <c r="C95" s="33">
        <v>6355000</v>
      </c>
      <c r="D95" s="32">
        <v>2</v>
      </c>
      <c r="E95" s="33">
        <f t="shared" si="41"/>
        <v>12710000</v>
      </c>
      <c r="F95" s="33">
        <v>12434000</v>
      </c>
      <c r="G95" s="32">
        <v>1</v>
      </c>
      <c r="H95" s="33">
        <f t="shared" si="42"/>
        <v>12434000</v>
      </c>
      <c r="I95" s="33">
        <v>8565000</v>
      </c>
      <c r="J95" s="32">
        <v>1</v>
      </c>
      <c r="K95" s="33">
        <f t="shared" si="43"/>
        <v>8565000</v>
      </c>
      <c r="L95" s="71"/>
      <c r="M95" s="38"/>
      <c r="N95" s="71"/>
      <c r="O95" s="71"/>
      <c r="P95" s="38"/>
      <c r="Q95" s="71"/>
      <c r="R95" s="38"/>
      <c r="S95" s="38"/>
      <c r="T95" s="71"/>
      <c r="U95" s="38"/>
      <c r="V95" s="71"/>
      <c r="W95" s="38"/>
      <c r="X95" s="71"/>
    </row>
    <row r="96" spans="2:24">
      <c r="B96" s="32" t="s">
        <v>235</v>
      </c>
      <c r="C96" s="33">
        <v>4300</v>
      </c>
      <c r="D96" s="32">
        <v>0</v>
      </c>
      <c r="E96" s="33">
        <f t="shared" si="41"/>
        <v>0</v>
      </c>
      <c r="F96" s="33">
        <v>4300</v>
      </c>
      <c r="G96" s="32">
        <v>0</v>
      </c>
      <c r="H96" s="33">
        <f t="shared" si="42"/>
        <v>0</v>
      </c>
      <c r="I96" s="33">
        <v>4300</v>
      </c>
      <c r="J96" s="32">
        <v>0</v>
      </c>
      <c r="K96" s="33">
        <f t="shared" si="43"/>
        <v>0</v>
      </c>
      <c r="L96" s="71"/>
      <c r="M96" s="38"/>
      <c r="N96" s="71"/>
      <c r="O96" s="71"/>
      <c r="P96" s="38"/>
      <c r="Q96" s="71"/>
      <c r="R96" s="38"/>
      <c r="S96" s="38"/>
      <c r="T96" s="71"/>
      <c r="U96" s="38"/>
      <c r="V96" s="71"/>
      <c r="W96" s="38"/>
      <c r="X96" s="71"/>
    </row>
    <row r="97" spans="2:24">
      <c r="B97" s="32" t="s">
        <v>236</v>
      </c>
      <c r="C97" s="33">
        <v>80300</v>
      </c>
      <c r="D97" s="32">
        <v>8</v>
      </c>
      <c r="E97" s="33">
        <f t="shared" si="41"/>
        <v>642400</v>
      </c>
      <c r="F97" s="33">
        <v>80300</v>
      </c>
      <c r="G97" s="32">
        <f>84-22</f>
        <v>62</v>
      </c>
      <c r="H97" s="33">
        <f t="shared" si="42"/>
        <v>4978600</v>
      </c>
      <c r="I97" s="33">
        <v>80300</v>
      </c>
      <c r="J97" s="32">
        <v>50</v>
      </c>
      <c r="K97" s="33">
        <f t="shared" si="43"/>
        <v>4015000</v>
      </c>
      <c r="L97" s="71"/>
      <c r="M97" s="38"/>
      <c r="N97" t="s">
        <v>15</v>
      </c>
      <c r="O97" t="s">
        <v>17</v>
      </c>
      <c r="P97" s="38"/>
      <c r="Q97" s="71"/>
      <c r="R97" s="38"/>
      <c r="S97" s="38"/>
      <c r="T97" s="71"/>
      <c r="U97" s="38"/>
      <c r="V97" s="71"/>
      <c r="W97" s="38"/>
      <c r="X97" s="71"/>
    </row>
    <row r="98" spans="2:24">
      <c r="B98" s="32" t="s">
        <v>237</v>
      </c>
      <c r="C98" s="33">
        <v>1100000</v>
      </c>
      <c r="D98" s="32">
        <v>6</v>
      </c>
      <c r="E98" s="33">
        <f t="shared" si="41"/>
        <v>6600000</v>
      </c>
      <c r="F98" s="33">
        <v>1100000</v>
      </c>
      <c r="G98" s="32">
        <v>4</v>
      </c>
      <c r="H98" s="33">
        <f t="shared" si="42"/>
        <v>4400000</v>
      </c>
      <c r="I98" s="33">
        <v>1100000</v>
      </c>
      <c r="J98" s="32">
        <v>5</v>
      </c>
      <c r="K98" s="33">
        <f t="shared" si="43"/>
        <v>5500000</v>
      </c>
      <c r="L98" s="71"/>
      <c r="M98" s="38"/>
      <c r="N98" s="86">
        <v>2.8472222222222201E-2</v>
      </c>
      <c r="O98" s="86">
        <v>1.52777777777778E-2</v>
      </c>
      <c r="P98" s="38"/>
      <c r="Q98" s="71"/>
      <c r="R98" s="38"/>
      <c r="S98" s="38"/>
      <c r="T98" s="71"/>
      <c r="U98" s="38"/>
      <c r="V98" s="71"/>
      <c r="W98" s="38"/>
      <c r="X98" s="71"/>
    </row>
    <row r="99" spans="2:24">
      <c r="B99" s="32" t="s">
        <v>238</v>
      </c>
      <c r="C99" s="33">
        <v>550000</v>
      </c>
      <c r="D99" s="32">
        <v>0</v>
      </c>
      <c r="E99" s="33">
        <f t="shared" si="41"/>
        <v>0</v>
      </c>
      <c r="F99" s="33">
        <v>550000</v>
      </c>
      <c r="G99" s="32">
        <v>0</v>
      </c>
      <c r="H99" s="33">
        <f t="shared" si="42"/>
        <v>0</v>
      </c>
      <c r="I99" s="33">
        <v>550000</v>
      </c>
      <c r="J99" s="32">
        <v>0</v>
      </c>
      <c r="K99" s="33">
        <f t="shared" si="43"/>
        <v>0</v>
      </c>
      <c r="L99" s="71"/>
      <c r="M99" s="38"/>
      <c r="N99" s="86">
        <v>4.72222222222222E-2</v>
      </c>
      <c r="O99" s="86">
        <v>2.5000000000000001E-2</v>
      </c>
      <c r="P99" s="38"/>
      <c r="Q99" s="71"/>
      <c r="R99" s="38"/>
      <c r="S99" s="91"/>
      <c r="T99" s="92"/>
      <c r="U99" s="38"/>
      <c r="V99" s="71"/>
      <c r="W99" s="38"/>
      <c r="X99" s="71"/>
    </row>
    <row r="100" spans="2:24">
      <c r="B100" s="32" t="s">
        <v>239</v>
      </c>
      <c r="C100" s="33">
        <v>420000</v>
      </c>
      <c r="D100" s="32">
        <v>0</v>
      </c>
      <c r="E100" s="33">
        <f t="shared" si="41"/>
        <v>0</v>
      </c>
      <c r="F100" s="33">
        <v>420000</v>
      </c>
      <c r="G100" s="32">
        <v>0</v>
      </c>
      <c r="H100" s="33">
        <f t="shared" si="42"/>
        <v>0</v>
      </c>
      <c r="I100" s="33">
        <v>420000</v>
      </c>
      <c r="J100" s="32">
        <v>0</v>
      </c>
      <c r="K100" s="33">
        <f t="shared" si="43"/>
        <v>0</v>
      </c>
      <c r="L100" s="71"/>
      <c r="M100" s="38"/>
      <c r="N100" s="86">
        <v>3.6805555555555501E-2</v>
      </c>
      <c r="O100"/>
      <c r="P100" s="38"/>
      <c r="Q100" s="71"/>
      <c r="R100" s="38"/>
      <c r="S100" s="38"/>
      <c r="T100" s="38"/>
      <c r="U100" s="38"/>
      <c r="V100" s="71"/>
      <c r="W100" s="38"/>
      <c r="X100" s="71"/>
    </row>
    <row r="101" spans="2:24">
      <c r="B101" s="32" t="s">
        <v>240</v>
      </c>
      <c r="C101" s="33">
        <v>450000</v>
      </c>
      <c r="D101" s="32">
        <v>0</v>
      </c>
      <c r="E101" s="33">
        <f t="shared" si="41"/>
        <v>0</v>
      </c>
      <c r="F101" s="33">
        <v>450000</v>
      </c>
      <c r="G101" s="32">
        <v>0</v>
      </c>
      <c r="H101" s="33">
        <f t="shared" si="42"/>
        <v>0</v>
      </c>
      <c r="I101" s="33">
        <v>450000</v>
      </c>
      <c r="J101" s="32">
        <v>0</v>
      </c>
      <c r="K101" s="33">
        <f t="shared" si="43"/>
        <v>0</v>
      </c>
      <c r="L101" s="71"/>
      <c r="M101" s="38"/>
      <c r="N101" s="86">
        <v>0.05</v>
      </c>
      <c r="O101"/>
      <c r="P101" s="38"/>
      <c r="Q101" s="71"/>
      <c r="R101" s="38"/>
      <c r="S101" s="38"/>
      <c r="T101" s="38"/>
      <c r="U101" s="38"/>
      <c r="V101" s="71"/>
      <c r="W101" s="38"/>
      <c r="X101" s="71"/>
    </row>
    <row r="102" spans="2:24">
      <c r="B102" s="32" t="s">
        <v>183</v>
      </c>
      <c r="C102" s="33">
        <v>5700</v>
      </c>
      <c r="D102" s="32">
        <v>0</v>
      </c>
      <c r="E102" s="33">
        <f t="shared" si="41"/>
        <v>0</v>
      </c>
      <c r="F102" s="33">
        <v>5700</v>
      </c>
      <c r="G102" s="32">
        <v>0</v>
      </c>
      <c r="H102" s="33">
        <f t="shared" si="42"/>
        <v>0</v>
      </c>
      <c r="I102" s="33">
        <v>5700</v>
      </c>
      <c r="J102" s="32">
        <v>0</v>
      </c>
      <c r="K102" s="33">
        <f t="shared" si="43"/>
        <v>0</v>
      </c>
      <c r="L102" s="71"/>
      <c r="M102" s="38"/>
      <c r="N102" s="87">
        <f>SUM(N98:N101)</f>
        <v>0.16249999999999992</v>
      </c>
      <c r="O102" s="87">
        <f>SUM(O98:O101)</f>
        <v>4.0277777777777801E-2</v>
      </c>
      <c r="P102" s="38"/>
      <c r="Q102" s="71"/>
      <c r="R102" s="38"/>
      <c r="S102" s="38"/>
      <c r="T102" s="38"/>
      <c r="U102" s="38"/>
      <c r="V102" s="71"/>
      <c r="W102" s="38"/>
      <c r="X102" s="71"/>
    </row>
    <row r="103" spans="2:24" s="2" customFormat="1">
      <c r="B103" s="35"/>
      <c r="C103" s="35"/>
      <c r="D103" s="31" t="s">
        <v>48</v>
      </c>
      <c r="E103" s="36">
        <f>SUM(E94:E102)</f>
        <v>82720400</v>
      </c>
      <c r="F103" s="35"/>
      <c r="G103" s="31" t="s">
        <v>48</v>
      </c>
      <c r="H103" s="36">
        <f>SUM(H94:H102)</f>
        <v>53725600</v>
      </c>
      <c r="I103" s="35"/>
      <c r="J103" s="31" t="s">
        <v>48</v>
      </c>
      <c r="K103" s="36">
        <f>SUM(K94:K102)</f>
        <v>51143000</v>
      </c>
      <c r="L103" s="41"/>
      <c r="M103" s="42"/>
      <c r="N103" s="88">
        <f>CONVERT(N102,"day","hr")</f>
        <v>3.8999999999999981</v>
      </c>
      <c r="O103" s="88">
        <f>CONVERT(O102,"day","hr")</f>
        <v>0.96666666666666712</v>
      </c>
      <c r="P103" s="42"/>
      <c r="Q103" s="43"/>
      <c r="R103" s="38"/>
      <c r="S103" s="38"/>
      <c r="T103" s="38"/>
      <c r="U103" s="38"/>
      <c r="V103" s="41"/>
      <c r="W103" s="42"/>
      <c r="X103" s="43"/>
    </row>
    <row r="104" spans="2:24">
      <c r="K104" s="49"/>
      <c r="L104" s="38"/>
      <c r="M104" s="38"/>
      <c r="N104" s="88">
        <f>N103*22</f>
        <v>85.799999999999955</v>
      </c>
      <c r="O104" s="88">
        <f>O103*22</f>
        <v>21.266666666666676</v>
      </c>
      <c r="P104" s="38"/>
      <c r="Q104" s="38"/>
      <c r="R104" s="38"/>
      <c r="S104" s="38"/>
      <c r="T104" s="38"/>
      <c r="U104" s="38"/>
      <c r="V104" s="38"/>
      <c r="W104" s="93"/>
      <c r="X104" s="38"/>
    </row>
    <row r="105" spans="2:24">
      <c r="K105" s="49"/>
      <c r="W105" s="49"/>
    </row>
    <row r="106" spans="2:24">
      <c r="B106" s="2" t="s">
        <v>230</v>
      </c>
      <c r="C106" s="29" t="s">
        <v>312</v>
      </c>
      <c r="F106" s="29" t="s">
        <v>309</v>
      </c>
      <c r="I106" s="29" t="s">
        <v>313</v>
      </c>
      <c r="W106" s="49"/>
    </row>
    <row r="107" spans="2:24">
      <c r="B107" s="379" t="s">
        <v>315</v>
      </c>
      <c r="C107" s="330" t="s">
        <v>316</v>
      </c>
      <c r="D107" s="331"/>
      <c r="E107" s="332"/>
      <c r="F107" s="330" t="s">
        <v>317</v>
      </c>
      <c r="G107" s="331"/>
      <c r="H107" s="332"/>
      <c r="I107" s="377" t="s">
        <v>318</v>
      </c>
      <c r="J107" s="377"/>
      <c r="K107" s="377"/>
      <c r="L107" s="378"/>
      <c r="M107" s="378"/>
      <c r="N107" s="378"/>
      <c r="O107" s="378"/>
      <c r="P107" s="378"/>
      <c r="Q107" s="378"/>
      <c r="R107" s="38"/>
      <c r="S107" s="38"/>
      <c r="T107" s="38"/>
      <c r="U107" s="38"/>
      <c r="V107" s="69"/>
      <c r="W107" s="69"/>
      <c r="X107" s="69"/>
    </row>
    <row r="108" spans="2:24">
      <c r="B108" s="380"/>
      <c r="C108" s="30" t="s">
        <v>180</v>
      </c>
      <c r="D108" s="31" t="s">
        <v>41</v>
      </c>
      <c r="E108" s="31" t="s">
        <v>44</v>
      </c>
      <c r="F108" s="30" t="s">
        <v>180</v>
      </c>
      <c r="G108" s="31" t="s">
        <v>41</v>
      </c>
      <c r="H108" s="31" t="s">
        <v>44</v>
      </c>
      <c r="I108" s="30" t="s">
        <v>180</v>
      </c>
      <c r="J108" s="31" t="s">
        <v>41</v>
      </c>
      <c r="K108" s="31" t="s">
        <v>44</v>
      </c>
      <c r="L108" s="70"/>
      <c r="M108" s="42"/>
      <c r="N108" s="42"/>
      <c r="O108" s="70"/>
      <c r="P108" s="42"/>
      <c r="Q108" s="42"/>
      <c r="R108" s="38"/>
      <c r="S108" s="38"/>
      <c r="T108" s="71"/>
      <c r="U108" s="38"/>
      <c r="V108" s="70"/>
      <c r="W108" s="42"/>
      <c r="X108" s="42"/>
    </row>
    <row r="109" spans="2:24">
      <c r="B109" s="32" t="s">
        <v>233</v>
      </c>
      <c r="C109" s="66">
        <v>31384000</v>
      </c>
      <c r="D109" s="32">
        <v>2</v>
      </c>
      <c r="E109" s="33">
        <f t="shared" ref="E109:E117" si="44">+C109*D109</f>
        <v>62768000</v>
      </c>
      <c r="F109" s="33">
        <v>31913000</v>
      </c>
      <c r="G109" s="32">
        <v>1</v>
      </c>
      <c r="H109" s="33">
        <f t="shared" ref="H109:H117" si="45">+F109*G109</f>
        <v>31913000</v>
      </c>
      <c r="I109" s="33">
        <v>33063000</v>
      </c>
      <c r="J109" s="32">
        <v>1</v>
      </c>
      <c r="K109" s="33">
        <f t="shared" ref="K109:K117" si="46">+I109*J109</f>
        <v>33063000</v>
      </c>
      <c r="L109" s="71"/>
      <c r="M109" s="38"/>
      <c r="N109" s="71"/>
      <c r="O109" s="71"/>
      <c r="P109" s="38"/>
      <c r="Q109" s="71"/>
      <c r="R109" s="38"/>
      <c r="S109" s="38"/>
      <c r="T109" s="71"/>
      <c r="U109" s="38"/>
      <c r="V109" s="69"/>
      <c r="W109" s="69"/>
      <c r="X109" s="69"/>
    </row>
    <row r="110" spans="2:24">
      <c r="B110" s="32" t="s">
        <v>234</v>
      </c>
      <c r="C110" s="33">
        <v>6355000</v>
      </c>
      <c r="D110" s="32">
        <v>2</v>
      </c>
      <c r="E110" s="33">
        <f t="shared" si="44"/>
        <v>12710000</v>
      </c>
      <c r="F110" s="33">
        <v>12434000</v>
      </c>
      <c r="G110" s="32">
        <v>1</v>
      </c>
      <c r="H110" s="33">
        <f t="shared" si="45"/>
        <v>12434000</v>
      </c>
      <c r="I110" s="33">
        <v>8565000</v>
      </c>
      <c r="J110" s="32">
        <v>1</v>
      </c>
      <c r="K110" s="33">
        <f t="shared" si="46"/>
        <v>8565000</v>
      </c>
      <c r="L110" s="71"/>
      <c r="M110" s="38"/>
      <c r="N110" s="71"/>
      <c r="O110" s="71"/>
      <c r="P110" s="38"/>
      <c r="Q110" s="71"/>
      <c r="R110" s="38"/>
      <c r="S110" s="38"/>
      <c r="T110" s="71"/>
      <c r="U110" s="38"/>
      <c r="V110" s="71"/>
      <c r="W110" s="38"/>
      <c r="X110" s="71"/>
    </row>
    <row r="111" spans="2:24">
      <c r="B111" s="32" t="s">
        <v>235</v>
      </c>
      <c r="C111" s="33">
        <v>4300</v>
      </c>
      <c r="D111" s="32">
        <v>0</v>
      </c>
      <c r="E111" s="33">
        <f t="shared" si="44"/>
        <v>0</v>
      </c>
      <c r="F111" s="33">
        <v>4300</v>
      </c>
      <c r="G111" s="32">
        <v>0</v>
      </c>
      <c r="H111" s="33">
        <f t="shared" si="45"/>
        <v>0</v>
      </c>
      <c r="I111" s="33">
        <v>4300</v>
      </c>
      <c r="J111" s="32">
        <v>0</v>
      </c>
      <c r="K111" s="33">
        <f t="shared" si="46"/>
        <v>0</v>
      </c>
      <c r="L111" s="71"/>
      <c r="M111" s="38"/>
      <c r="N111" s="71"/>
      <c r="O111" s="71"/>
      <c r="P111" s="38"/>
      <c r="Q111" s="71"/>
      <c r="R111" s="38"/>
      <c r="S111" s="38"/>
      <c r="T111" s="71"/>
      <c r="U111" s="38"/>
      <c r="V111" s="71"/>
      <c r="W111" s="38"/>
      <c r="X111" s="71"/>
    </row>
    <row r="112" spans="2:24">
      <c r="B112" s="32" t="s">
        <v>236</v>
      </c>
      <c r="C112" s="33">
        <v>80300</v>
      </c>
      <c r="D112" s="32">
        <v>8</v>
      </c>
      <c r="E112" s="33">
        <f t="shared" si="44"/>
        <v>642400</v>
      </c>
      <c r="F112" s="33">
        <v>80300</v>
      </c>
      <c r="G112" s="32">
        <f>84-22</f>
        <v>62</v>
      </c>
      <c r="H112" s="33">
        <f t="shared" si="45"/>
        <v>4978600</v>
      </c>
      <c r="I112" s="33">
        <v>80300</v>
      </c>
      <c r="J112" s="32">
        <v>50</v>
      </c>
      <c r="K112" s="33">
        <f t="shared" si="46"/>
        <v>4015000</v>
      </c>
      <c r="L112" s="71"/>
      <c r="M112" s="38"/>
      <c r="N112" s="71"/>
      <c r="O112" s="71"/>
      <c r="P112" s="38"/>
      <c r="Q112" s="71"/>
      <c r="R112" s="38"/>
      <c r="S112" s="38"/>
      <c r="T112" s="71"/>
      <c r="U112" s="38"/>
      <c r="V112" s="71"/>
      <c r="W112" s="38"/>
      <c r="X112" s="71"/>
    </row>
    <row r="113" spans="2:24">
      <c r="B113" s="32" t="s">
        <v>237</v>
      </c>
      <c r="C113" s="33">
        <v>870000</v>
      </c>
      <c r="D113" s="32">
        <v>6</v>
      </c>
      <c r="E113" s="33">
        <f t="shared" si="44"/>
        <v>5220000</v>
      </c>
      <c r="F113" s="33">
        <v>870000</v>
      </c>
      <c r="G113" s="32">
        <v>4</v>
      </c>
      <c r="H113" s="33">
        <f t="shared" si="45"/>
        <v>3480000</v>
      </c>
      <c r="I113" s="33">
        <v>870000</v>
      </c>
      <c r="J113" s="32">
        <v>5</v>
      </c>
      <c r="K113" s="33">
        <f t="shared" si="46"/>
        <v>4350000</v>
      </c>
      <c r="L113" s="71"/>
      <c r="M113" s="38"/>
      <c r="N113" s="71"/>
      <c r="O113" s="71"/>
      <c r="P113" s="38"/>
      <c r="Q113" s="71"/>
      <c r="R113" s="38"/>
      <c r="S113" s="38"/>
      <c r="T113" s="71"/>
      <c r="U113" s="38"/>
      <c r="V113" s="71"/>
      <c r="W113" s="38"/>
      <c r="X113" s="71"/>
    </row>
    <row r="114" spans="2:24">
      <c r="B114" s="32" t="s">
        <v>238</v>
      </c>
      <c r="C114" s="33">
        <v>435000</v>
      </c>
      <c r="D114" s="32">
        <v>0</v>
      </c>
      <c r="E114" s="33">
        <f t="shared" si="44"/>
        <v>0</v>
      </c>
      <c r="F114" s="33">
        <v>435000</v>
      </c>
      <c r="G114" s="32">
        <v>0</v>
      </c>
      <c r="H114" s="33">
        <f t="shared" si="45"/>
        <v>0</v>
      </c>
      <c r="I114" s="33">
        <v>435000</v>
      </c>
      <c r="J114" s="32">
        <v>0</v>
      </c>
      <c r="K114" s="33">
        <f t="shared" si="46"/>
        <v>0</v>
      </c>
      <c r="L114" s="71"/>
      <c r="M114" s="38"/>
      <c r="N114" s="71"/>
      <c r="O114" s="71"/>
      <c r="P114" s="38"/>
      <c r="Q114" s="71"/>
      <c r="R114" s="38"/>
      <c r="S114" s="91"/>
      <c r="T114" s="92"/>
      <c r="U114" s="38"/>
      <c r="V114" s="71"/>
      <c r="W114" s="38"/>
      <c r="X114" s="71"/>
    </row>
    <row r="115" spans="2:24">
      <c r="B115" s="32" t="s">
        <v>239</v>
      </c>
      <c r="C115" s="33">
        <v>420000</v>
      </c>
      <c r="D115" s="32">
        <v>0</v>
      </c>
      <c r="E115" s="33">
        <f t="shared" si="44"/>
        <v>0</v>
      </c>
      <c r="F115" s="33">
        <v>420000</v>
      </c>
      <c r="G115" s="32">
        <v>0</v>
      </c>
      <c r="H115" s="33">
        <f t="shared" si="45"/>
        <v>0</v>
      </c>
      <c r="I115" s="33">
        <v>420000</v>
      </c>
      <c r="J115" s="32">
        <v>0</v>
      </c>
      <c r="K115" s="33">
        <f t="shared" si="46"/>
        <v>0</v>
      </c>
      <c r="L115" s="71"/>
      <c r="M115" s="38"/>
      <c r="N115" s="71"/>
      <c r="O115" s="71"/>
      <c r="P115" s="38"/>
      <c r="Q115" s="71"/>
      <c r="R115" s="38"/>
      <c r="S115" s="38"/>
      <c r="T115" s="38"/>
      <c r="U115" s="38"/>
      <c r="V115" s="71"/>
      <c r="W115" s="38"/>
      <c r="X115" s="71"/>
    </row>
    <row r="116" spans="2:24">
      <c r="B116" s="32" t="s">
        <v>240</v>
      </c>
      <c r="C116" s="33">
        <v>450000</v>
      </c>
      <c r="D116" s="32">
        <v>0</v>
      </c>
      <c r="E116" s="33">
        <f t="shared" si="44"/>
        <v>0</v>
      </c>
      <c r="F116" s="33">
        <v>450000</v>
      </c>
      <c r="G116" s="32">
        <v>0</v>
      </c>
      <c r="H116" s="33">
        <f t="shared" si="45"/>
        <v>0</v>
      </c>
      <c r="I116" s="33">
        <v>450000</v>
      </c>
      <c r="J116" s="32">
        <v>0</v>
      </c>
      <c r="K116" s="33">
        <f t="shared" si="46"/>
        <v>0</v>
      </c>
      <c r="L116" s="71"/>
      <c r="M116" s="38"/>
      <c r="N116" s="71"/>
      <c r="O116" s="71"/>
      <c r="P116" s="38"/>
      <c r="Q116" s="71"/>
      <c r="R116" s="38"/>
      <c r="S116" s="38"/>
      <c r="T116" s="38"/>
      <c r="U116" s="38"/>
      <c r="V116" s="71"/>
      <c r="W116" s="38"/>
      <c r="X116" s="71"/>
    </row>
    <row r="117" spans="2:24">
      <c r="B117" s="32" t="s">
        <v>183</v>
      </c>
      <c r="C117" s="33">
        <v>5700</v>
      </c>
      <c r="D117" s="32">
        <v>0</v>
      </c>
      <c r="E117" s="33">
        <f t="shared" si="44"/>
        <v>0</v>
      </c>
      <c r="F117" s="33">
        <v>5700</v>
      </c>
      <c r="G117" s="32">
        <v>0</v>
      </c>
      <c r="H117" s="33">
        <f t="shared" si="45"/>
        <v>0</v>
      </c>
      <c r="I117" s="33">
        <v>5700</v>
      </c>
      <c r="J117" s="32">
        <v>0</v>
      </c>
      <c r="K117" s="33">
        <f t="shared" si="46"/>
        <v>0</v>
      </c>
      <c r="L117" s="71"/>
      <c r="M117" s="38"/>
      <c r="N117" s="71"/>
      <c r="O117" s="71"/>
      <c r="P117" s="38"/>
      <c r="Q117" s="71"/>
      <c r="R117" s="38"/>
      <c r="S117" s="38"/>
      <c r="T117" s="38"/>
      <c r="U117" s="38"/>
      <c r="V117" s="71"/>
      <c r="W117" s="38"/>
      <c r="X117" s="71"/>
    </row>
    <row r="118" spans="2:24" s="2" customFormat="1">
      <c r="B118" s="35"/>
      <c r="C118" s="35"/>
      <c r="D118" s="31" t="s">
        <v>48</v>
      </c>
      <c r="E118" s="36">
        <f>SUM(E109:E117)</f>
        <v>81340400</v>
      </c>
      <c r="F118" s="35"/>
      <c r="G118" s="31" t="s">
        <v>48</v>
      </c>
      <c r="H118" s="36">
        <f>SUM(H109:H117)</f>
        <v>52805600</v>
      </c>
      <c r="I118" s="35"/>
      <c r="J118" s="31" t="s">
        <v>48</v>
      </c>
      <c r="K118" s="36">
        <f>SUM(K109:K117)</f>
        <v>49993000</v>
      </c>
      <c r="L118" s="41"/>
      <c r="M118" s="42"/>
      <c r="N118" s="52"/>
      <c r="O118" s="41"/>
      <c r="P118" s="42"/>
      <c r="Q118" s="43"/>
      <c r="R118" s="38"/>
      <c r="S118" s="38"/>
      <c r="T118" s="38"/>
      <c r="U118" s="38"/>
      <c r="V118" s="41"/>
      <c r="W118" s="42"/>
      <c r="X118" s="43"/>
    </row>
    <row r="119" spans="2:24">
      <c r="E119" s="56">
        <f>+E103-E118</f>
        <v>1380000</v>
      </c>
      <c r="K119" s="49"/>
      <c r="W119" s="49"/>
    </row>
    <row r="120" spans="2:24">
      <c r="E120" s="29">
        <f>+E119/23000</f>
        <v>60</v>
      </c>
      <c r="K120" s="49"/>
      <c r="W120" s="49"/>
    </row>
    <row r="121" spans="2:24">
      <c r="C121" s="29" t="s">
        <v>312</v>
      </c>
      <c r="F121" s="29" t="s">
        <v>309</v>
      </c>
      <c r="I121" s="29" t="s">
        <v>313</v>
      </c>
      <c r="S121" s="29" t="s">
        <v>158</v>
      </c>
      <c r="W121" s="49"/>
    </row>
    <row r="122" spans="2:24">
      <c r="B122" s="379" t="s">
        <v>315</v>
      </c>
      <c r="C122" s="330" t="s">
        <v>316</v>
      </c>
      <c r="D122" s="331"/>
      <c r="E122" s="332"/>
      <c r="F122" s="330" t="s">
        <v>319</v>
      </c>
      <c r="G122" s="331"/>
      <c r="H122" s="332"/>
      <c r="I122" s="330" t="s">
        <v>320</v>
      </c>
      <c r="J122" s="331"/>
      <c r="K122" s="332"/>
      <c r="L122" s="330" t="s">
        <v>317</v>
      </c>
      <c r="M122" s="331"/>
      <c r="N122" s="332"/>
      <c r="O122" s="330" t="s">
        <v>321</v>
      </c>
      <c r="P122" s="331"/>
      <c r="Q122" s="332"/>
      <c r="S122" s="32" t="s">
        <v>15</v>
      </c>
      <c r="T122" s="32" t="s">
        <v>17</v>
      </c>
      <c r="V122" s="330" t="s">
        <v>322</v>
      </c>
      <c r="W122" s="331"/>
      <c r="X122" s="332"/>
    </row>
    <row r="123" spans="2:24">
      <c r="B123" s="380"/>
      <c r="C123" s="30" t="s">
        <v>180</v>
      </c>
      <c r="D123" s="31" t="s">
        <v>41</v>
      </c>
      <c r="E123" s="31" t="s">
        <v>44</v>
      </c>
      <c r="F123" s="30" t="s">
        <v>180</v>
      </c>
      <c r="G123" s="31" t="s">
        <v>41</v>
      </c>
      <c r="H123" s="31" t="s">
        <v>44</v>
      </c>
      <c r="I123" s="30" t="s">
        <v>180</v>
      </c>
      <c r="J123" s="31" t="s">
        <v>41</v>
      </c>
      <c r="K123" s="31" t="s">
        <v>44</v>
      </c>
      <c r="L123" s="30" t="s">
        <v>180</v>
      </c>
      <c r="M123" s="31" t="s">
        <v>41</v>
      </c>
      <c r="N123" s="31" t="s">
        <v>44</v>
      </c>
      <c r="O123" s="30" t="s">
        <v>180</v>
      </c>
      <c r="P123" s="31" t="s">
        <v>41</v>
      </c>
      <c r="Q123" s="31" t="s">
        <v>44</v>
      </c>
      <c r="S123" s="32">
        <v>2.8472222222222201E-2</v>
      </c>
      <c r="T123" s="33">
        <v>1.52777777777778E-2</v>
      </c>
      <c r="V123" s="30" t="s">
        <v>180</v>
      </c>
      <c r="W123" s="31" t="s">
        <v>41</v>
      </c>
      <c r="X123" s="31" t="s">
        <v>44</v>
      </c>
    </row>
    <row r="124" spans="2:24">
      <c r="B124" s="32" t="s">
        <v>233</v>
      </c>
      <c r="C124" s="66">
        <v>31384000</v>
      </c>
      <c r="D124" s="32">
        <v>2</v>
      </c>
      <c r="E124" s="33">
        <f t="shared" ref="E124:E132" si="47">+C124*D124</f>
        <v>62768000</v>
      </c>
      <c r="F124" s="33">
        <v>29913000</v>
      </c>
      <c r="G124" s="32">
        <v>1</v>
      </c>
      <c r="H124" s="33">
        <f t="shared" ref="H124:H132" si="48">+F124*G124</f>
        <v>29913000</v>
      </c>
      <c r="I124" s="33">
        <v>31063000</v>
      </c>
      <c r="J124" s="32">
        <v>1</v>
      </c>
      <c r="K124" s="33">
        <f t="shared" ref="K124:K132" si="49">+I124*J124</f>
        <v>31063000</v>
      </c>
      <c r="L124" s="33">
        <v>31913000</v>
      </c>
      <c r="M124" s="32">
        <v>1</v>
      </c>
      <c r="N124" s="33">
        <f t="shared" ref="N124:N132" si="50">+L124*M124</f>
        <v>31913000</v>
      </c>
      <c r="O124" s="33">
        <v>38328000</v>
      </c>
      <c r="P124" s="32">
        <v>1</v>
      </c>
      <c r="Q124" s="33">
        <f t="shared" ref="Q124:Q132" si="51">+O124*P124</f>
        <v>38328000</v>
      </c>
      <c r="S124" s="32">
        <v>4.72222222222222E-2</v>
      </c>
      <c r="T124" s="33">
        <v>2.5000000000000001E-2</v>
      </c>
      <c r="V124" s="66">
        <v>31384000</v>
      </c>
      <c r="W124" s="32">
        <v>2</v>
      </c>
      <c r="X124" s="33">
        <f t="shared" ref="X124:X132" si="52">+V124*W124</f>
        <v>62768000</v>
      </c>
    </row>
    <row r="125" spans="2:24">
      <c r="B125" s="32" t="s">
        <v>234</v>
      </c>
      <c r="C125" s="33">
        <v>6355000</v>
      </c>
      <c r="D125" s="32">
        <v>2</v>
      </c>
      <c r="E125" s="33">
        <f t="shared" si="47"/>
        <v>12710000</v>
      </c>
      <c r="F125" s="33">
        <v>12434000</v>
      </c>
      <c r="G125" s="32">
        <v>1</v>
      </c>
      <c r="H125" s="33">
        <f t="shared" si="48"/>
        <v>12434000</v>
      </c>
      <c r="I125" s="33">
        <v>8565000</v>
      </c>
      <c r="J125" s="32">
        <v>1</v>
      </c>
      <c r="K125" s="33">
        <f t="shared" si="49"/>
        <v>8565000</v>
      </c>
      <c r="L125" s="33">
        <v>12434000</v>
      </c>
      <c r="M125" s="32">
        <v>1</v>
      </c>
      <c r="N125" s="33">
        <f t="shared" si="50"/>
        <v>12434000</v>
      </c>
      <c r="O125" s="33">
        <v>7031000</v>
      </c>
      <c r="P125" s="32">
        <v>1</v>
      </c>
      <c r="Q125" s="33">
        <f t="shared" si="51"/>
        <v>7031000</v>
      </c>
      <c r="S125" s="32">
        <v>3.6805555555555501E-2</v>
      </c>
      <c r="T125" s="33"/>
      <c r="V125" s="33">
        <v>6355000</v>
      </c>
      <c r="W125" s="32">
        <v>2</v>
      </c>
      <c r="X125" s="33">
        <f t="shared" si="52"/>
        <v>12710000</v>
      </c>
    </row>
    <row r="126" spans="2:24">
      <c r="B126" s="32" t="s">
        <v>235</v>
      </c>
      <c r="C126" s="33">
        <v>6600</v>
      </c>
      <c r="D126" s="32">
        <v>0</v>
      </c>
      <c r="E126" s="33">
        <f t="shared" si="47"/>
        <v>0</v>
      </c>
      <c r="F126" s="33">
        <v>4300</v>
      </c>
      <c r="G126" s="32">
        <v>0</v>
      </c>
      <c r="H126" s="33">
        <f t="shared" si="48"/>
        <v>0</v>
      </c>
      <c r="I126" s="33">
        <v>4300</v>
      </c>
      <c r="J126" s="32">
        <v>0</v>
      </c>
      <c r="K126" s="33">
        <f t="shared" si="49"/>
        <v>0</v>
      </c>
      <c r="L126" s="33">
        <v>6600</v>
      </c>
      <c r="M126" s="32">
        <v>0</v>
      </c>
      <c r="N126" s="33">
        <f t="shared" si="50"/>
        <v>0</v>
      </c>
      <c r="O126" s="33">
        <v>6600</v>
      </c>
      <c r="P126" s="32">
        <v>0</v>
      </c>
      <c r="Q126" s="33">
        <f t="shared" si="51"/>
        <v>0</v>
      </c>
      <c r="S126" s="32">
        <v>0.05</v>
      </c>
      <c r="T126" s="33"/>
      <c r="V126" s="33">
        <v>6600</v>
      </c>
      <c r="W126" s="32">
        <v>0</v>
      </c>
      <c r="X126" s="33">
        <f t="shared" si="52"/>
        <v>0</v>
      </c>
    </row>
    <row r="127" spans="2:24">
      <c r="B127" s="32" t="s">
        <v>236</v>
      </c>
      <c r="C127" s="33">
        <v>80300</v>
      </c>
      <c r="D127" s="32">
        <v>8</v>
      </c>
      <c r="E127" s="33">
        <f t="shared" si="47"/>
        <v>642400</v>
      </c>
      <c r="F127" s="33">
        <v>80300</v>
      </c>
      <c r="G127" s="32">
        <f>G83-22</f>
        <v>62</v>
      </c>
      <c r="H127" s="33">
        <f t="shared" si="48"/>
        <v>4978600</v>
      </c>
      <c r="I127" s="33">
        <v>80300</v>
      </c>
      <c r="J127" s="32">
        <f>72-22</f>
        <v>50</v>
      </c>
      <c r="K127" s="33">
        <f t="shared" si="49"/>
        <v>4015000</v>
      </c>
      <c r="L127" s="33">
        <v>80300</v>
      </c>
      <c r="M127" s="32">
        <f>G127</f>
        <v>62</v>
      </c>
      <c r="N127" s="33">
        <f t="shared" si="50"/>
        <v>4978600</v>
      </c>
      <c r="O127" s="33">
        <v>80300</v>
      </c>
      <c r="P127" s="32">
        <f>72-22</f>
        <v>50</v>
      </c>
      <c r="Q127" s="33">
        <f t="shared" si="51"/>
        <v>4015000</v>
      </c>
      <c r="S127" s="32">
        <v>0.16250000000000001</v>
      </c>
      <c r="T127" s="33">
        <v>4.0277777777777801E-2</v>
      </c>
      <c r="V127" s="33">
        <v>80300</v>
      </c>
      <c r="W127" s="32">
        <v>8</v>
      </c>
      <c r="X127" s="33">
        <f t="shared" si="52"/>
        <v>642400</v>
      </c>
    </row>
    <row r="128" spans="2:24">
      <c r="B128" s="32" t="s">
        <v>237</v>
      </c>
      <c r="C128" s="33">
        <v>1100000</v>
      </c>
      <c r="D128" s="32">
        <v>6</v>
      </c>
      <c r="E128" s="33">
        <f t="shared" si="47"/>
        <v>6600000</v>
      </c>
      <c r="F128" s="33">
        <v>870000</v>
      </c>
      <c r="G128" s="32">
        <v>4</v>
      </c>
      <c r="H128" s="33">
        <f t="shared" si="48"/>
        <v>3480000</v>
      </c>
      <c r="I128" s="33">
        <v>870000</v>
      </c>
      <c r="J128" s="32">
        <v>5</v>
      </c>
      <c r="K128" s="33">
        <f t="shared" si="49"/>
        <v>4350000</v>
      </c>
      <c r="L128" s="33">
        <v>1100000</v>
      </c>
      <c r="M128" s="32">
        <v>4</v>
      </c>
      <c r="N128" s="33">
        <f t="shared" si="50"/>
        <v>4400000</v>
      </c>
      <c r="O128" s="33">
        <v>1100000</v>
      </c>
      <c r="P128" s="32">
        <v>5</v>
      </c>
      <c r="Q128" s="33">
        <f t="shared" si="51"/>
        <v>5500000</v>
      </c>
      <c r="S128" s="32">
        <v>3.9</v>
      </c>
      <c r="T128" s="33">
        <v>0.96666666666666701</v>
      </c>
      <c r="V128" s="33">
        <v>1100000</v>
      </c>
      <c r="W128" s="32">
        <v>6</v>
      </c>
      <c r="X128" s="33">
        <f t="shared" si="52"/>
        <v>6600000</v>
      </c>
    </row>
    <row r="129" spans="2:24">
      <c r="B129" s="32" t="s">
        <v>238</v>
      </c>
      <c r="C129" s="33">
        <v>550000</v>
      </c>
      <c r="D129" s="32">
        <v>0</v>
      </c>
      <c r="E129" s="33">
        <f t="shared" si="47"/>
        <v>0</v>
      </c>
      <c r="F129" s="33">
        <v>435000</v>
      </c>
      <c r="G129" s="32">
        <v>0</v>
      </c>
      <c r="H129" s="33">
        <f t="shared" si="48"/>
        <v>0</v>
      </c>
      <c r="I129" s="33">
        <v>435000</v>
      </c>
      <c r="J129" s="32">
        <v>0</v>
      </c>
      <c r="K129" s="33">
        <f t="shared" si="49"/>
        <v>0</v>
      </c>
      <c r="L129" s="33">
        <v>550000</v>
      </c>
      <c r="M129" s="32">
        <v>0</v>
      </c>
      <c r="N129" s="33">
        <f t="shared" si="50"/>
        <v>0</v>
      </c>
      <c r="O129" s="33">
        <v>550000</v>
      </c>
      <c r="P129" s="32">
        <v>0</v>
      </c>
      <c r="Q129" s="33">
        <f t="shared" si="51"/>
        <v>0</v>
      </c>
      <c r="S129" s="53">
        <v>85.8</v>
      </c>
      <c r="T129" s="94">
        <v>21.266666666666701</v>
      </c>
      <c r="V129" s="33">
        <v>550000</v>
      </c>
      <c r="W129" s="32">
        <v>0</v>
      </c>
      <c r="X129" s="33">
        <f t="shared" si="52"/>
        <v>0</v>
      </c>
    </row>
    <row r="130" spans="2:24">
      <c r="B130" s="32" t="s">
        <v>239</v>
      </c>
      <c r="C130" s="33">
        <v>420000</v>
      </c>
      <c r="D130" s="32">
        <v>0</v>
      </c>
      <c r="E130" s="33">
        <f t="shared" si="47"/>
        <v>0</v>
      </c>
      <c r="F130" s="33">
        <v>420000</v>
      </c>
      <c r="G130" s="32">
        <v>0</v>
      </c>
      <c r="H130" s="33">
        <f t="shared" si="48"/>
        <v>0</v>
      </c>
      <c r="I130" s="33">
        <v>420000</v>
      </c>
      <c r="J130" s="32">
        <v>0</v>
      </c>
      <c r="K130" s="33">
        <f t="shared" si="49"/>
        <v>0</v>
      </c>
      <c r="L130" s="33">
        <v>420000</v>
      </c>
      <c r="M130" s="32">
        <v>0</v>
      </c>
      <c r="N130" s="33">
        <f t="shared" si="50"/>
        <v>0</v>
      </c>
      <c r="O130" s="33">
        <v>420000</v>
      </c>
      <c r="P130" s="32">
        <v>0</v>
      </c>
      <c r="Q130" s="33">
        <f t="shared" si="51"/>
        <v>0</v>
      </c>
      <c r="V130" s="33">
        <v>420000</v>
      </c>
      <c r="W130" s="32">
        <v>0</v>
      </c>
      <c r="X130" s="33">
        <f t="shared" si="52"/>
        <v>0</v>
      </c>
    </row>
    <row r="131" spans="2:24">
      <c r="B131" s="32" t="s">
        <v>240</v>
      </c>
      <c r="C131" s="33">
        <v>450000</v>
      </c>
      <c r="D131" s="32">
        <v>0</v>
      </c>
      <c r="E131" s="33">
        <f t="shared" si="47"/>
        <v>0</v>
      </c>
      <c r="F131" s="33">
        <v>450000</v>
      </c>
      <c r="G131" s="32">
        <v>0</v>
      </c>
      <c r="H131" s="33">
        <f t="shared" si="48"/>
        <v>0</v>
      </c>
      <c r="I131" s="33">
        <v>450000</v>
      </c>
      <c r="J131" s="32">
        <v>0</v>
      </c>
      <c r="K131" s="33">
        <f t="shared" si="49"/>
        <v>0</v>
      </c>
      <c r="L131" s="33">
        <v>450000</v>
      </c>
      <c r="M131" s="32">
        <v>0</v>
      </c>
      <c r="N131" s="33">
        <f t="shared" si="50"/>
        <v>0</v>
      </c>
      <c r="O131" s="33">
        <v>450000</v>
      </c>
      <c r="P131" s="32">
        <v>0</v>
      </c>
      <c r="Q131" s="33">
        <f t="shared" si="51"/>
        <v>0</v>
      </c>
      <c r="V131" s="33">
        <v>450000</v>
      </c>
      <c r="W131" s="32">
        <v>0</v>
      </c>
      <c r="X131" s="33">
        <f t="shared" si="52"/>
        <v>0</v>
      </c>
    </row>
    <row r="132" spans="2:24">
      <c r="B132" s="32" t="s">
        <v>183</v>
      </c>
      <c r="C132" s="33">
        <v>5700</v>
      </c>
      <c r="D132" s="32">
        <v>0</v>
      </c>
      <c r="E132" s="33">
        <f t="shared" si="47"/>
        <v>0</v>
      </c>
      <c r="F132" s="33">
        <v>5700</v>
      </c>
      <c r="G132" s="32">
        <v>0</v>
      </c>
      <c r="H132" s="33">
        <f t="shared" si="48"/>
        <v>0</v>
      </c>
      <c r="I132" s="33">
        <v>5700</v>
      </c>
      <c r="J132" s="32">
        <v>0</v>
      </c>
      <c r="K132" s="33">
        <f t="shared" si="49"/>
        <v>0</v>
      </c>
      <c r="L132" s="33">
        <v>5700</v>
      </c>
      <c r="M132" s="32">
        <v>0</v>
      </c>
      <c r="N132" s="33">
        <f t="shared" si="50"/>
        <v>0</v>
      </c>
      <c r="O132" s="33">
        <v>5700</v>
      </c>
      <c r="P132" s="32">
        <v>0</v>
      </c>
      <c r="Q132" s="33">
        <f t="shared" si="51"/>
        <v>0</v>
      </c>
      <c r="V132" s="33">
        <v>5700</v>
      </c>
      <c r="W132" s="32">
        <v>0</v>
      </c>
      <c r="X132" s="33">
        <f t="shared" si="52"/>
        <v>0</v>
      </c>
    </row>
    <row r="133" spans="2:24" s="2" customFormat="1">
      <c r="B133" s="35"/>
      <c r="C133" s="35"/>
      <c r="D133" s="31" t="s">
        <v>48</v>
      </c>
      <c r="E133" s="36">
        <f>SUM(E124:E132)</f>
        <v>82720400</v>
      </c>
      <c r="F133" s="35"/>
      <c r="G133" s="31" t="s">
        <v>48</v>
      </c>
      <c r="H133" s="36">
        <f>SUM(H124:H132)</f>
        <v>50805600</v>
      </c>
      <c r="I133" s="35"/>
      <c r="J133" s="31" t="s">
        <v>48</v>
      </c>
      <c r="K133" s="36">
        <f>SUM(K124:K132)</f>
        <v>47993000</v>
      </c>
      <c r="L133" s="35"/>
      <c r="M133" s="31" t="s">
        <v>48</v>
      </c>
      <c r="N133" s="51">
        <f>SUM(N124:N132)</f>
        <v>53725600</v>
      </c>
      <c r="O133" s="35"/>
      <c r="P133" s="31" t="s">
        <v>48</v>
      </c>
      <c r="Q133" s="36">
        <f>SUM(Q124:Q132)</f>
        <v>54874000</v>
      </c>
      <c r="R133" s="29"/>
      <c r="S133" s="29"/>
      <c r="T133" s="29"/>
      <c r="U133" s="29"/>
      <c r="V133" s="35"/>
      <c r="W133" s="31" t="s">
        <v>48</v>
      </c>
      <c r="X133" s="36">
        <f>SUM(X124:X132)</f>
        <v>82720400</v>
      </c>
    </row>
    <row r="134" spans="2:24">
      <c r="K134" s="49"/>
    </row>
    <row r="135" spans="2:24">
      <c r="K135" s="49"/>
    </row>
    <row r="136" spans="2:24">
      <c r="H136" s="56"/>
      <c r="K136" s="49"/>
      <c r="W136" s="49"/>
    </row>
    <row r="137" spans="2:24">
      <c r="H137" s="56"/>
      <c r="K137" s="49"/>
      <c r="W137" s="49"/>
    </row>
    <row r="138" spans="2:24">
      <c r="K138" s="49"/>
      <c r="W138" s="49"/>
    </row>
    <row r="139" spans="2:24" ht="15" hidden="1" customHeight="1">
      <c r="B139" s="39" t="s">
        <v>323</v>
      </c>
      <c r="C139" s="29" t="s">
        <v>280</v>
      </c>
      <c r="F139" s="29" t="s">
        <v>281</v>
      </c>
      <c r="I139" s="29" t="s">
        <v>282</v>
      </c>
      <c r="K139" s="49"/>
      <c r="W139" s="49"/>
    </row>
    <row r="140" spans="2:24" ht="15" hidden="1" customHeight="1">
      <c r="B140" s="340" t="s">
        <v>283</v>
      </c>
      <c r="C140" s="330" t="s">
        <v>10</v>
      </c>
      <c r="D140" s="331"/>
      <c r="E140" s="332"/>
      <c r="F140" s="330" t="s">
        <v>15</v>
      </c>
      <c r="G140" s="331"/>
      <c r="H140" s="332"/>
      <c r="I140" s="330" t="s">
        <v>17</v>
      </c>
      <c r="J140" s="331"/>
      <c r="K140" s="332"/>
      <c r="N140" s="340" t="s">
        <v>283</v>
      </c>
      <c r="O140" s="330" t="s">
        <v>10</v>
      </c>
      <c r="P140" s="331"/>
      <c r="Q140" s="332"/>
      <c r="R140" s="330" t="s">
        <v>15</v>
      </c>
      <c r="S140" s="331"/>
      <c r="T140" s="332"/>
      <c r="U140" s="330" t="s">
        <v>17</v>
      </c>
      <c r="V140" s="331"/>
      <c r="W140" s="332"/>
    </row>
    <row r="141" spans="2:24" ht="15" hidden="1" customHeight="1">
      <c r="B141" s="341"/>
      <c r="C141" s="30" t="s">
        <v>180</v>
      </c>
      <c r="D141" s="31" t="s">
        <v>41</v>
      </c>
      <c r="E141" s="31" t="s">
        <v>44</v>
      </c>
      <c r="F141" s="30" t="s">
        <v>180</v>
      </c>
      <c r="G141" s="31" t="s">
        <v>41</v>
      </c>
      <c r="H141" s="31" t="s">
        <v>44</v>
      </c>
      <c r="I141" s="30" t="s">
        <v>180</v>
      </c>
      <c r="J141" s="31" t="s">
        <v>41</v>
      </c>
      <c r="K141" s="31" t="s">
        <v>44</v>
      </c>
      <c r="N141" s="341"/>
      <c r="O141" s="30" t="s">
        <v>180</v>
      </c>
      <c r="P141" s="31" t="s">
        <v>41</v>
      </c>
      <c r="Q141" s="31" t="s">
        <v>44</v>
      </c>
      <c r="R141" s="30" t="s">
        <v>180</v>
      </c>
      <c r="S141" s="31" t="s">
        <v>41</v>
      </c>
      <c r="T141" s="31" t="s">
        <v>44</v>
      </c>
      <c r="U141" s="30" t="s">
        <v>180</v>
      </c>
      <c r="V141" s="31" t="s">
        <v>41</v>
      </c>
      <c r="W141" s="31" t="s">
        <v>44</v>
      </c>
    </row>
    <row r="142" spans="2:24" ht="15" hidden="1" customHeight="1">
      <c r="B142" s="32" t="s">
        <v>233</v>
      </c>
      <c r="C142" s="33">
        <v>37956400</v>
      </c>
      <c r="D142" s="32">
        <v>1</v>
      </c>
      <c r="E142" s="33">
        <f t="shared" ref="E142:E150" si="53">+C142*D142</f>
        <v>37956400</v>
      </c>
      <c r="F142" s="33">
        <v>41245952.380952403</v>
      </c>
      <c r="G142" s="32">
        <v>1</v>
      </c>
      <c r="H142" s="33">
        <f t="shared" ref="H142:H150" si="54">+F142*G142</f>
        <v>41245952.380952403</v>
      </c>
      <c r="I142" s="33">
        <v>41989500</v>
      </c>
      <c r="J142" s="32">
        <v>1</v>
      </c>
      <c r="K142" s="33">
        <f t="shared" ref="K142:K150" si="55">+I142*J142</f>
        <v>41989500</v>
      </c>
      <c r="N142" s="32" t="s">
        <v>233</v>
      </c>
      <c r="O142" s="33">
        <v>37956400</v>
      </c>
      <c r="P142" s="32">
        <v>1</v>
      </c>
      <c r="Q142" s="33">
        <f t="shared" ref="Q142:Q150" si="56">+O142*P142</f>
        <v>37956400</v>
      </c>
      <c r="R142" s="33">
        <v>41245952.380952403</v>
      </c>
      <c r="S142" s="32">
        <v>1</v>
      </c>
      <c r="T142" s="33">
        <f t="shared" ref="T142:T150" si="57">+R142*S142</f>
        <v>41245952.380952403</v>
      </c>
      <c r="U142" s="33">
        <v>41989500</v>
      </c>
      <c r="V142" s="32">
        <v>1</v>
      </c>
      <c r="W142" s="33">
        <f t="shared" ref="W142:W150" si="58">+U142*V142</f>
        <v>41989500</v>
      </c>
    </row>
    <row r="143" spans="2:24" ht="15" hidden="1" customHeight="1">
      <c r="B143" s="32" t="s">
        <v>234</v>
      </c>
      <c r="C143" s="33">
        <v>7904650</v>
      </c>
      <c r="D143" s="32">
        <v>1</v>
      </c>
      <c r="E143" s="33">
        <f t="shared" si="53"/>
        <v>7904650</v>
      </c>
      <c r="F143" s="33">
        <v>10550000</v>
      </c>
      <c r="G143" s="32">
        <v>1</v>
      </c>
      <c r="H143" s="33">
        <f t="shared" si="54"/>
        <v>10550000</v>
      </c>
      <c r="I143" s="33">
        <v>9766375</v>
      </c>
      <c r="J143" s="32">
        <v>1</v>
      </c>
      <c r="K143" s="33">
        <f t="shared" si="55"/>
        <v>9766375</v>
      </c>
      <c r="N143" s="32" t="s">
        <v>234</v>
      </c>
      <c r="O143" s="33">
        <v>7904650</v>
      </c>
      <c r="P143" s="32">
        <v>1</v>
      </c>
      <c r="Q143" s="33">
        <f t="shared" si="56"/>
        <v>7904650</v>
      </c>
      <c r="R143" s="33">
        <v>10550000</v>
      </c>
      <c r="S143" s="32">
        <v>1</v>
      </c>
      <c r="T143" s="33">
        <f t="shared" si="57"/>
        <v>10550000</v>
      </c>
      <c r="U143" s="33">
        <v>9766375</v>
      </c>
      <c r="V143" s="32">
        <v>1</v>
      </c>
      <c r="W143" s="33">
        <f t="shared" si="58"/>
        <v>9766375</v>
      </c>
    </row>
    <row r="144" spans="2:24" ht="15" hidden="1" customHeight="1">
      <c r="B144" s="32" t="s">
        <v>235</v>
      </c>
      <c r="C144" s="33">
        <v>6600</v>
      </c>
      <c r="D144" s="32">
        <v>0</v>
      </c>
      <c r="E144" s="33">
        <f t="shared" si="53"/>
        <v>0</v>
      </c>
      <c r="F144" s="33">
        <v>6600</v>
      </c>
      <c r="G144" s="32">
        <v>0</v>
      </c>
      <c r="H144" s="33">
        <f t="shared" si="54"/>
        <v>0</v>
      </c>
      <c r="I144" s="33">
        <v>6600</v>
      </c>
      <c r="J144" s="32">
        <v>0</v>
      </c>
      <c r="K144" s="33">
        <f t="shared" si="55"/>
        <v>0</v>
      </c>
      <c r="N144" s="32" t="s">
        <v>235</v>
      </c>
      <c r="O144" s="33">
        <v>4300</v>
      </c>
      <c r="P144" s="32">
        <v>0</v>
      </c>
      <c r="Q144" s="33">
        <f t="shared" si="56"/>
        <v>0</v>
      </c>
      <c r="R144" s="33">
        <v>4300</v>
      </c>
      <c r="S144" s="32">
        <v>0</v>
      </c>
      <c r="T144" s="33">
        <f t="shared" si="57"/>
        <v>0</v>
      </c>
      <c r="U144" s="33">
        <v>4300</v>
      </c>
      <c r="V144" s="32">
        <v>0</v>
      </c>
      <c r="W144" s="33">
        <f t="shared" si="58"/>
        <v>0</v>
      </c>
    </row>
    <row r="145" spans="2:23" ht="15" hidden="1" customHeight="1">
      <c r="B145" s="32" t="s">
        <v>236</v>
      </c>
      <c r="C145" s="33">
        <v>80300</v>
      </c>
      <c r="D145" s="32">
        <v>19</v>
      </c>
      <c r="E145" s="33">
        <f t="shared" si="53"/>
        <v>1525700</v>
      </c>
      <c r="F145" s="33">
        <v>80300</v>
      </c>
      <c r="G145" s="32">
        <v>41</v>
      </c>
      <c r="H145" s="33">
        <f t="shared" si="54"/>
        <v>3292300</v>
      </c>
      <c r="I145" s="33">
        <v>80300</v>
      </c>
      <c r="J145" s="32">
        <v>12</v>
      </c>
      <c r="K145" s="33">
        <f t="shared" si="55"/>
        <v>963600</v>
      </c>
      <c r="N145" s="32" t="s">
        <v>236</v>
      </c>
      <c r="O145" s="33">
        <v>80300</v>
      </c>
      <c r="P145" s="32">
        <v>19</v>
      </c>
      <c r="Q145" s="33">
        <f t="shared" si="56"/>
        <v>1525700</v>
      </c>
      <c r="R145" s="33">
        <v>80300</v>
      </c>
      <c r="S145" s="32">
        <v>41</v>
      </c>
      <c r="T145" s="33">
        <f t="shared" si="57"/>
        <v>3292300</v>
      </c>
      <c r="U145" s="33">
        <v>80300</v>
      </c>
      <c r="V145" s="32">
        <v>12</v>
      </c>
      <c r="W145" s="33">
        <f t="shared" si="58"/>
        <v>963600</v>
      </c>
    </row>
    <row r="146" spans="2:23" ht="15" hidden="1" customHeight="1">
      <c r="B146" s="32" t="s">
        <v>237</v>
      </c>
      <c r="C146" s="33">
        <v>1100000</v>
      </c>
      <c r="D146" s="32">
        <v>0.5</v>
      </c>
      <c r="E146" s="33">
        <f t="shared" si="53"/>
        <v>550000</v>
      </c>
      <c r="F146" s="33">
        <v>1100000</v>
      </c>
      <c r="G146" s="32">
        <v>0.5</v>
      </c>
      <c r="H146" s="33">
        <f t="shared" si="54"/>
        <v>550000</v>
      </c>
      <c r="I146" s="33">
        <v>1100000</v>
      </c>
      <c r="J146" s="32">
        <v>1</v>
      </c>
      <c r="K146" s="33">
        <f t="shared" si="55"/>
        <v>1100000</v>
      </c>
      <c r="N146" s="32" t="s">
        <v>237</v>
      </c>
      <c r="O146" s="33">
        <v>870000</v>
      </c>
      <c r="P146" s="32">
        <v>0.5</v>
      </c>
      <c r="Q146" s="33">
        <f t="shared" si="56"/>
        <v>435000</v>
      </c>
      <c r="R146" s="33">
        <v>870000</v>
      </c>
      <c r="S146" s="32">
        <v>0.5</v>
      </c>
      <c r="T146" s="33">
        <f t="shared" si="57"/>
        <v>435000</v>
      </c>
      <c r="U146" s="33">
        <v>870000</v>
      </c>
      <c r="V146" s="32">
        <v>1</v>
      </c>
      <c r="W146" s="33">
        <f t="shared" si="58"/>
        <v>870000</v>
      </c>
    </row>
    <row r="147" spans="2:23" hidden="1">
      <c r="B147" s="32" t="s">
        <v>238</v>
      </c>
      <c r="C147" s="33">
        <v>550000</v>
      </c>
      <c r="D147" s="32">
        <v>0</v>
      </c>
      <c r="E147" s="33">
        <f t="shared" si="53"/>
        <v>0</v>
      </c>
      <c r="F147" s="33">
        <v>550000</v>
      </c>
      <c r="G147" s="32">
        <v>0</v>
      </c>
      <c r="H147" s="33">
        <f t="shared" si="54"/>
        <v>0</v>
      </c>
      <c r="I147" s="33">
        <v>550000</v>
      </c>
      <c r="J147" s="32">
        <v>0</v>
      </c>
      <c r="K147" s="33">
        <f t="shared" si="55"/>
        <v>0</v>
      </c>
      <c r="N147" s="32" t="s">
        <v>238</v>
      </c>
      <c r="O147" s="33">
        <v>435000</v>
      </c>
      <c r="P147" s="32">
        <v>0</v>
      </c>
      <c r="Q147" s="33">
        <f t="shared" si="56"/>
        <v>0</v>
      </c>
      <c r="R147" s="33">
        <v>435000</v>
      </c>
      <c r="S147" s="32">
        <v>0</v>
      </c>
      <c r="T147" s="33">
        <f t="shared" si="57"/>
        <v>0</v>
      </c>
      <c r="U147" s="33">
        <v>435000</v>
      </c>
      <c r="V147" s="32">
        <v>0</v>
      </c>
      <c r="W147" s="33">
        <f t="shared" si="58"/>
        <v>0</v>
      </c>
    </row>
    <row r="148" spans="2:23" hidden="1">
      <c r="B148" s="32" t="s">
        <v>239</v>
      </c>
      <c r="C148" s="33">
        <v>420000</v>
      </c>
      <c r="D148" s="32">
        <v>0</v>
      </c>
      <c r="E148" s="33">
        <f t="shared" si="53"/>
        <v>0</v>
      </c>
      <c r="F148" s="33">
        <v>420000</v>
      </c>
      <c r="G148" s="32">
        <v>0</v>
      </c>
      <c r="H148" s="33">
        <f t="shared" si="54"/>
        <v>0</v>
      </c>
      <c r="I148" s="33">
        <v>420000</v>
      </c>
      <c r="J148" s="32">
        <v>0</v>
      </c>
      <c r="K148" s="33">
        <f t="shared" si="55"/>
        <v>0</v>
      </c>
      <c r="N148" s="32" t="s">
        <v>239</v>
      </c>
      <c r="O148" s="33">
        <v>420000</v>
      </c>
      <c r="P148" s="32">
        <v>0</v>
      </c>
      <c r="Q148" s="33">
        <f t="shared" si="56"/>
        <v>0</v>
      </c>
      <c r="R148" s="33">
        <v>420000</v>
      </c>
      <c r="S148" s="32">
        <v>0</v>
      </c>
      <c r="T148" s="33">
        <f t="shared" si="57"/>
        <v>0</v>
      </c>
      <c r="U148" s="33">
        <v>420000</v>
      </c>
      <c r="V148" s="32">
        <v>0</v>
      </c>
      <c r="W148" s="33">
        <f t="shared" si="58"/>
        <v>0</v>
      </c>
    </row>
    <row r="149" spans="2:23" hidden="1">
      <c r="B149" s="32" t="s">
        <v>240</v>
      </c>
      <c r="C149" s="33">
        <v>450000</v>
      </c>
      <c r="D149" s="32">
        <v>0</v>
      </c>
      <c r="E149" s="33">
        <f t="shared" si="53"/>
        <v>0</v>
      </c>
      <c r="F149" s="33">
        <v>450000</v>
      </c>
      <c r="G149" s="32">
        <v>0</v>
      </c>
      <c r="H149" s="33">
        <f t="shared" si="54"/>
        <v>0</v>
      </c>
      <c r="I149" s="33">
        <v>450000</v>
      </c>
      <c r="J149" s="32">
        <v>0</v>
      </c>
      <c r="K149" s="33">
        <f t="shared" si="55"/>
        <v>0</v>
      </c>
      <c r="N149" s="32" t="s">
        <v>240</v>
      </c>
      <c r="O149" s="33">
        <v>450000</v>
      </c>
      <c r="P149" s="32">
        <v>0</v>
      </c>
      <c r="Q149" s="33">
        <f t="shared" si="56"/>
        <v>0</v>
      </c>
      <c r="R149" s="33">
        <v>450000</v>
      </c>
      <c r="S149" s="32">
        <v>0</v>
      </c>
      <c r="T149" s="33">
        <f t="shared" si="57"/>
        <v>0</v>
      </c>
      <c r="U149" s="33">
        <v>450000</v>
      </c>
      <c r="V149" s="32">
        <v>0</v>
      </c>
      <c r="W149" s="33">
        <f t="shared" si="58"/>
        <v>0</v>
      </c>
    </row>
    <row r="150" spans="2:23" hidden="1">
      <c r="B150" s="32" t="s">
        <v>241</v>
      </c>
      <c r="C150" s="33">
        <v>280000</v>
      </c>
      <c r="D150" s="32">
        <v>0</v>
      </c>
      <c r="E150" s="33">
        <f t="shared" si="53"/>
        <v>0</v>
      </c>
      <c r="F150" s="33">
        <v>280000</v>
      </c>
      <c r="G150" s="32">
        <v>0</v>
      </c>
      <c r="H150" s="33">
        <f t="shared" si="54"/>
        <v>0</v>
      </c>
      <c r="I150" s="33">
        <v>280000</v>
      </c>
      <c r="J150" s="32">
        <v>0</v>
      </c>
      <c r="K150" s="33">
        <f t="shared" si="55"/>
        <v>0</v>
      </c>
      <c r="N150" s="32" t="s">
        <v>241</v>
      </c>
      <c r="O150" s="33">
        <v>280000</v>
      </c>
      <c r="P150" s="32">
        <v>0</v>
      </c>
      <c r="Q150" s="33">
        <f t="shared" si="56"/>
        <v>0</v>
      </c>
      <c r="R150" s="33">
        <v>280000</v>
      </c>
      <c r="S150" s="32">
        <v>0</v>
      </c>
      <c r="T150" s="33">
        <f t="shared" si="57"/>
        <v>0</v>
      </c>
      <c r="U150" s="33">
        <v>280000</v>
      </c>
      <c r="V150" s="32">
        <v>0</v>
      </c>
      <c r="W150" s="33">
        <f t="shared" si="58"/>
        <v>0</v>
      </c>
    </row>
    <row r="151" spans="2:23" s="2" customFormat="1" hidden="1">
      <c r="B151" s="35"/>
      <c r="C151" s="35"/>
      <c r="D151" s="31" t="s">
        <v>48</v>
      </c>
      <c r="E151" s="36">
        <f>SUM(E142:E150)</f>
        <v>47936750</v>
      </c>
      <c r="F151" s="35"/>
      <c r="G151" s="31" t="s">
        <v>48</v>
      </c>
      <c r="H151" s="36">
        <f>SUM(H142:H150)</f>
        <v>55638252.380952403</v>
      </c>
      <c r="I151" s="35"/>
      <c r="J151" s="31" t="s">
        <v>48</v>
      </c>
      <c r="K151" s="36">
        <f>SUM(K142:K150)</f>
        <v>53819475</v>
      </c>
      <c r="N151" s="35"/>
      <c r="O151" s="35"/>
      <c r="P151" s="31" t="s">
        <v>48</v>
      </c>
      <c r="Q151" s="36">
        <f>SUM(Q142:Q150)</f>
        <v>47821750</v>
      </c>
      <c r="R151" s="35"/>
      <c r="S151" s="31" t="s">
        <v>48</v>
      </c>
      <c r="T151" s="51">
        <f>SUM(T142:T150)</f>
        <v>55523252.380952403</v>
      </c>
      <c r="U151" s="35"/>
      <c r="V151" s="31" t="s">
        <v>48</v>
      </c>
      <c r="W151" s="36">
        <f>SUM(W142:W150)</f>
        <v>53589475</v>
      </c>
    </row>
    <row r="152" spans="2:23" hidden="1">
      <c r="K152" s="49">
        <f>(E151+H151+K151)/3</f>
        <v>52464825.793650806</v>
      </c>
      <c r="W152" s="49">
        <f>(Q151+T151+W151)/3</f>
        <v>52311492.46031747</v>
      </c>
    </row>
    <row r="153" spans="2:23" hidden="1"/>
    <row r="154" spans="2:23" hidden="1">
      <c r="C154" s="29" t="s">
        <v>280</v>
      </c>
      <c r="F154" s="29" t="s">
        <v>281</v>
      </c>
      <c r="I154" s="29" t="s">
        <v>282</v>
      </c>
      <c r="K154" s="49"/>
      <c r="W154" s="49"/>
    </row>
    <row r="155" spans="2:23" hidden="1">
      <c r="B155" s="340" t="s">
        <v>284</v>
      </c>
      <c r="C155" s="330" t="s">
        <v>10</v>
      </c>
      <c r="D155" s="331"/>
      <c r="E155" s="332"/>
      <c r="F155" s="330" t="s">
        <v>15</v>
      </c>
      <c r="G155" s="331"/>
      <c r="H155" s="332"/>
      <c r="I155" s="330" t="s">
        <v>17</v>
      </c>
      <c r="J155" s="331"/>
      <c r="K155" s="332"/>
      <c r="N155" s="340" t="s">
        <v>284</v>
      </c>
      <c r="O155" s="330" t="s">
        <v>10</v>
      </c>
      <c r="P155" s="331"/>
      <c r="Q155" s="332"/>
      <c r="R155" s="330" t="s">
        <v>15</v>
      </c>
      <c r="S155" s="331"/>
      <c r="T155" s="332"/>
      <c r="U155" s="330" t="s">
        <v>17</v>
      </c>
      <c r="V155" s="331"/>
      <c r="W155" s="332"/>
    </row>
    <row r="156" spans="2:23" hidden="1">
      <c r="B156" s="341"/>
      <c r="C156" s="30" t="s">
        <v>180</v>
      </c>
      <c r="D156" s="31" t="s">
        <v>41</v>
      </c>
      <c r="E156" s="31" t="s">
        <v>44</v>
      </c>
      <c r="F156" s="30" t="s">
        <v>180</v>
      </c>
      <c r="G156" s="31" t="s">
        <v>41</v>
      </c>
      <c r="H156" s="31" t="s">
        <v>44</v>
      </c>
      <c r="I156" s="30" t="s">
        <v>180</v>
      </c>
      <c r="J156" s="31" t="s">
        <v>41</v>
      </c>
      <c r="K156" s="31" t="s">
        <v>44</v>
      </c>
      <c r="N156" s="341"/>
      <c r="O156" s="30" t="s">
        <v>180</v>
      </c>
      <c r="P156" s="31" t="s">
        <v>41</v>
      </c>
      <c r="Q156" s="31" t="s">
        <v>44</v>
      </c>
      <c r="R156" s="30" t="s">
        <v>180</v>
      </c>
      <c r="S156" s="31" t="s">
        <v>41</v>
      </c>
      <c r="T156" s="31" t="s">
        <v>44</v>
      </c>
      <c r="U156" s="30" t="s">
        <v>180</v>
      </c>
      <c r="V156" s="31" t="s">
        <v>41</v>
      </c>
      <c r="W156" s="31" t="s">
        <v>44</v>
      </c>
    </row>
    <row r="157" spans="2:23" hidden="1">
      <c r="B157" s="32" t="s">
        <v>233</v>
      </c>
      <c r="C157" s="33">
        <v>36318400</v>
      </c>
      <c r="D157" s="32">
        <v>1</v>
      </c>
      <c r="E157" s="33">
        <f t="shared" ref="E157:E165" si="59">+C157*D157</f>
        <v>36318400</v>
      </c>
      <c r="F157" s="33">
        <v>38905952.380952403</v>
      </c>
      <c r="G157" s="32">
        <v>1</v>
      </c>
      <c r="H157" s="33">
        <f t="shared" ref="H157:H165" si="60">+F157*G157</f>
        <v>38905952.380952403</v>
      </c>
      <c r="I157" s="33">
        <v>39430125</v>
      </c>
      <c r="J157" s="32">
        <v>1</v>
      </c>
      <c r="K157" s="33">
        <f t="shared" ref="K157:K165" si="61">+I157*J157</f>
        <v>39430125</v>
      </c>
      <c r="N157" s="32" t="s">
        <v>233</v>
      </c>
      <c r="O157" s="33">
        <v>36318400</v>
      </c>
      <c r="P157" s="32">
        <v>1</v>
      </c>
      <c r="Q157" s="33">
        <f t="shared" ref="Q157:Q165" si="62">+O157*P157</f>
        <v>36318400</v>
      </c>
      <c r="R157" s="33">
        <v>38905952.380952403</v>
      </c>
      <c r="S157" s="32">
        <v>1</v>
      </c>
      <c r="T157" s="33">
        <f t="shared" ref="T157:T165" si="63">+R157*S157</f>
        <v>38905952.380952403</v>
      </c>
      <c r="U157" s="33">
        <v>39430125</v>
      </c>
      <c r="V157" s="32">
        <v>1</v>
      </c>
      <c r="W157" s="33">
        <f t="shared" ref="W157:W165" si="64">+U157*V157</f>
        <v>39430125</v>
      </c>
    </row>
    <row r="158" spans="2:23" hidden="1">
      <c r="B158" s="32" t="s">
        <v>234</v>
      </c>
      <c r="C158" s="33">
        <v>7904650</v>
      </c>
      <c r="D158" s="32">
        <v>1</v>
      </c>
      <c r="E158" s="33">
        <f t="shared" si="59"/>
        <v>7904650</v>
      </c>
      <c r="F158" s="33">
        <v>10550000</v>
      </c>
      <c r="G158" s="32">
        <v>1</v>
      </c>
      <c r="H158" s="33">
        <f t="shared" si="60"/>
        <v>10550000</v>
      </c>
      <c r="I158" s="33">
        <v>9766375</v>
      </c>
      <c r="J158" s="32">
        <v>1</v>
      </c>
      <c r="K158" s="33">
        <f t="shared" si="61"/>
        <v>9766375</v>
      </c>
      <c r="N158" s="32" t="s">
        <v>234</v>
      </c>
      <c r="O158" s="33">
        <v>7904650</v>
      </c>
      <c r="P158" s="32">
        <v>1</v>
      </c>
      <c r="Q158" s="33">
        <f t="shared" si="62"/>
        <v>7904650</v>
      </c>
      <c r="R158" s="33">
        <v>10550000</v>
      </c>
      <c r="S158" s="32">
        <v>1</v>
      </c>
      <c r="T158" s="33">
        <f t="shared" si="63"/>
        <v>10550000</v>
      </c>
      <c r="U158" s="33">
        <v>9766375</v>
      </c>
      <c r="V158" s="32">
        <v>1</v>
      </c>
      <c r="W158" s="33">
        <f t="shared" si="64"/>
        <v>9766375</v>
      </c>
    </row>
    <row r="159" spans="2:23" hidden="1">
      <c r="B159" s="32" t="s">
        <v>235</v>
      </c>
      <c r="C159" s="33">
        <v>6600</v>
      </c>
      <c r="D159" s="32">
        <v>0</v>
      </c>
      <c r="E159" s="33">
        <f t="shared" si="59"/>
        <v>0</v>
      </c>
      <c r="F159" s="33">
        <v>6600</v>
      </c>
      <c r="G159" s="32">
        <v>0</v>
      </c>
      <c r="H159" s="33">
        <f t="shared" si="60"/>
        <v>0</v>
      </c>
      <c r="I159" s="33">
        <v>6600</v>
      </c>
      <c r="J159" s="32">
        <v>0</v>
      </c>
      <c r="K159" s="33">
        <f t="shared" si="61"/>
        <v>0</v>
      </c>
      <c r="N159" s="32" t="s">
        <v>235</v>
      </c>
      <c r="O159" s="33">
        <v>4300</v>
      </c>
      <c r="P159" s="32">
        <v>0</v>
      </c>
      <c r="Q159" s="33">
        <f t="shared" si="62"/>
        <v>0</v>
      </c>
      <c r="R159" s="33">
        <v>4300</v>
      </c>
      <c r="S159" s="32">
        <v>0</v>
      </c>
      <c r="T159" s="33">
        <f t="shared" si="63"/>
        <v>0</v>
      </c>
      <c r="U159" s="33">
        <v>4300</v>
      </c>
      <c r="V159" s="32">
        <v>0</v>
      </c>
      <c r="W159" s="33">
        <f t="shared" si="64"/>
        <v>0</v>
      </c>
    </row>
    <row r="160" spans="2:23" hidden="1">
      <c r="B160" s="32" t="s">
        <v>236</v>
      </c>
      <c r="C160" s="33">
        <v>80300</v>
      </c>
      <c r="D160" s="32">
        <v>19</v>
      </c>
      <c r="E160" s="33">
        <f t="shared" si="59"/>
        <v>1525700</v>
      </c>
      <c r="F160" s="33">
        <v>80300</v>
      </c>
      <c r="G160" s="32">
        <v>41</v>
      </c>
      <c r="H160" s="33">
        <f t="shared" si="60"/>
        <v>3292300</v>
      </c>
      <c r="I160" s="33">
        <v>80300</v>
      </c>
      <c r="J160" s="32">
        <v>12</v>
      </c>
      <c r="K160" s="33">
        <f t="shared" si="61"/>
        <v>963600</v>
      </c>
      <c r="N160" s="32" t="s">
        <v>236</v>
      </c>
      <c r="O160" s="33">
        <v>80300</v>
      </c>
      <c r="P160" s="32">
        <v>19</v>
      </c>
      <c r="Q160" s="33">
        <f t="shared" si="62"/>
        <v>1525700</v>
      </c>
      <c r="R160" s="33">
        <v>80300</v>
      </c>
      <c r="S160" s="32">
        <v>41</v>
      </c>
      <c r="T160" s="33">
        <f t="shared" si="63"/>
        <v>3292300</v>
      </c>
      <c r="U160" s="33">
        <v>80300</v>
      </c>
      <c r="V160" s="32">
        <v>12</v>
      </c>
      <c r="W160" s="33">
        <f t="shared" si="64"/>
        <v>963600</v>
      </c>
    </row>
    <row r="161" spans="2:23" hidden="1">
      <c r="B161" s="32" t="s">
        <v>237</v>
      </c>
      <c r="C161" s="33">
        <v>1100000</v>
      </c>
      <c r="D161" s="32">
        <v>0.5</v>
      </c>
      <c r="E161" s="33">
        <f t="shared" si="59"/>
        <v>550000</v>
      </c>
      <c r="F161" s="33">
        <v>1100000</v>
      </c>
      <c r="G161" s="32">
        <v>0.5</v>
      </c>
      <c r="H161" s="33">
        <f t="shared" si="60"/>
        <v>550000</v>
      </c>
      <c r="I161" s="33">
        <v>1100000</v>
      </c>
      <c r="J161" s="32">
        <v>1</v>
      </c>
      <c r="K161" s="33">
        <f t="shared" si="61"/>
        <v>1100000</v>
      </c>
      <c r="N161" s="32" t="s">
        <v>237</v>
      </c>
      <c r="O161" s="33">
        <v>870000</v>
      </c>
      <c r="P161" s="32">
        <v>0.5</v>
      </c>
      <c r="Q161" s="33">
        <f t="shared" si="62"/>
        <v>435000</v>
      </c>
      <c r="R161" s="33">
        <v>870000</v>
      </c>
      <c r="S161" s="32">
        <v>0.5</v>
      </c>
      <c r="T161" s="33">
        <f t="shared" si="63"/>
        <v>435000</v>
      </c>
      <c r="U161" s="33">
        <v>870000</v>
      </c>
      <c r="V161" s="32">
        <v>1</v>
      </c>
      <c r="W161" s="33">
        <f t="shared" si="64"/>
        <v>870000</v>
      </c>
    </row>
    <row r="162" spans="2:23" hidden="1">
      <c r="B162" s="32" t="s">
        <v>238</v>
      </c>
      <c r="C162" s="33">
        <v>550000</v>
      </c>
      <c r="D162" s="32">
        <v>0</v>
      </c>
      <c r="E162" s="33">
        <f t="shared" si="59"/>
        <v>0</v>
      </c>
      <c r="F162" s="33">
        <v>550000</v>
      </c>
      <c r="G162" s="32">
        <v>0</v>
      </c>
      <c r="H162" s="33">
        <f t="shared" si="60"/>
        <v>0</v>
      </c>
      <c r="I162" s="33">
        <v>550000</v>
      </c>
      <c r="J162" s="32">
        <v>0</v>
      </c>
      <c r="K162" s="33">
        <f t="shared" si="61"/>
        <v>0</v>
      </c>
      <c r="N162" s="32" t="s">
        <v>238</v>
      </c>
      <c r="O162" s="33">
        <v>435000</v>
      </c>
      <c r="P162" s="32">
        <v>0</v>
      </c>
      <c r="Q162" s="33">
        <f t="shared" si="62"/>
        <v>0</v>
      </c>
      <c r="R162" s="33">
        <v>435000</v>
      </c>
      <c r="S162" s="32">
        <v>0</v>
      </c>
      <c r="T162" s="33">
        <f t="shared" si="63"/>
        <v>0</v>
      </c>
      <c r="U162" s="33">
        <v>435000</v>
      </c>
      <c r="V162" s="32">
        <v>0</v>
      </c>
      <c r="W162" s="33">
        <f t="shared" si="64"/>
        <v>0</v>
      </c>
    </row>
    <row r="163" spans="2:23" hidden="1">
      <c r="B163" s="32" t="s">
        <v>239</v>
      </c>
      <c r="C163" s="33">
        <v>420000</v>
      </c>
      <c r="D163" s="32">
        <v>0</v>
      </c>
      <c r="E163" s="33">
        <f t="shared" si="59"/>
        <v>0</v>
      </c>
      <c r="F163" s="33">
        <v>420000</v>
      </c>
      <c r="G163" s="32">
        <v>0</v>
      </c>
      <c r="H163" s="33">
        <f t="shared" si="60"/>
        <v>0</v>
      </c>
      <c r="I163" s="33">
        <v>420000</v>
      </c>
      <c r="J163" s="32">
        <v>0</v>
      </c>
      <c r="K163" s="33">
        <f t="shared" si="61"/>
        <v>0</v>
      </c>
      <c r="N163" s="32" t="s">
        <v>239</v>
      </c>
      <c r="O163" s="33">
        <v>420000</v>
      </c>
      <c r="P163" s="32">
        <v>0</v>
      </c>
      <c r="Q163" s="33">
        <f t="shared" si="62"/>
        <v>0</v>
      </c>
      <c r="R163" s="33">
        <v>420000</v>
      </c>
      <c r="S163" s="32">
        <v>0</v>
      </c>
      <c r="T163" s="33">
        <f t="shared" si="63"/>
        <v>0</v>
      </c>
      <c r="U163" s="33">
        <v>420000</v>
      </c>
      <c r="V163" s="32">
        <v>0</v>
      </c>
      <c r="W163" s="33">
        <f t="shared" si="64"/>
        <v>0</v>
      </c>
    </row>
    <row r="164" spans="2:23" hidden="1">
      <c r="B164" s="32" t="s">
        <v>240</v>
      </c>
      <c r="C164" s="33">
        <v>450000</v>
      </c>
      <c r="D164" s="32">
        <v>0</v>
      </c>
      <c r="E164" s="33">
        <f t="shared" si="59"/>
        <v>0</v>
      </c>
      <c r="F164" s="33">
        <v>450000</v>
      </c>
      <c r="G164" s="32">
        <v>0</v>
      </c>
      <c r="H164" s="33">
        <f t="shared" si="60"/>
        <v>0</v>
      </c>
      <c r="I164" s="33">
        <v>450000</v>
      </c>
      <c r="J164" s="32">
        <v>0</v>
      </c>
      <c r="K164" s="33">
        <f t="shared" si="61"/>
        <v>0</v>
      </c>
      <c r="N164" s="32" t="s">
        <v>240</v>
      </c>
      <c r="O164" s="33">
        <v>450000</v>
      </c>
      <c r="P164" s="32">
        <v>0</v>
      </c>
      <c r="Q164" s="33">
        <f t="shared" si="62"/>
        <v>0</v>
      </c>
      <c r="R164" s="33">
        <v>450000</v>
      </c>
      <c r="S164" s="32">
        <v>0</v>
      </c>
      <c r="T164" s="33">
        <f t="shared" si="63"/>
        <v>0</v>
      </c>
      <c r="U164" s="33">
        <v>450000</v>
      </c>
      <c r="V164" s="32">
        <v>0</v>
      </c>
      <c r="W164" s="33">
        <f t="shared" si="64"/>
        <v>0</v>
      </c>
    </row>
    <row r="165" spans="2:23" hidden="1">
      <c r="B165" s="32" t="s">
        <v>241</v>
      </c>
      <c r="C165" s="33">
        <v>280000</v>
      </c>
      <c r="D165" s="32">
        <v>0</v>
      </c>
      <c r="E165" s="33">
        <f t="shared" si="59"/>
        <v>0</v>
      </c>
      <c r="F165" s="33">
        <v>280000</v>
      </c>
      <c r="G165" s="32">
        <v>0</v>
      </c>
      <c r="H165" s="33">
        <f t="shared" si="60"/>
        <v>0</v>
      </c>
      <c r="I165" s="33">
        <v>280000</v>
      </c>
      <c r="J165" s="32">
        <v>0</v>
      </c>
      <c r="K165" s="33">
        <f t="shared" si="61"/>
        <v>0</v>
      </c>
      <c r="N165" s="32" t="s">
        <v>241</v>
      </c>
      <c r="O165" s="33">
        <v>280000</v>
      </c>
      <c r="P165" s="32">
        <v>0</v>
      </c>
      <c r="Q165" s="33">
        <f t="shared" si="62"/>
        <v>0</v>
      </c>
      <c r="R165" s="33">
        <v>280000</v>
      </c>
      <c r="S165" s="32">
        <v>0</v>
      </c>
      <c r="T165" s="33">
        <f t="shared" si="63"/>
        <v>0</v>
      </c>
      <c r="U165" s="33">
        <v>280000</v>
      </c>
      <c r="V165" s="32">
        <v>0</v>
      </c>
      <c r="W165" s="33">
        <f t="shared" si="64"/>
        <v>0</v>
      </c>
    </row>
    <row r="166" spans="2:23" s="2" customFormat="1" hidden="1">
      <c r="B166" s="35"/>
      <c r="C166" s="35"/>
      <c r="D166" s="31" t="s">
        <v>48</v>
      </c>
      <c r="E166" s="36">
        <f>SUM(E157:E165)</f>
        <v>46298750</v>
      </c>
      <c r="F166" s="35"/>
      <c r="G166" s="31" t="s">
        <v>48</v>
      </c>
      <c r="H166" s="36">
        <f>SUM(H157:H165)</f>
        <v>53298252.380952403</v>
      </c>
      <c r="I166" s="35"/>
      <c r="J166" s="31" t="s">
        <v>48</v>
      </c>
      <c r="K166" s="36">
        <f>SUM(K157:K165)</f>
        <v>51260100</v>
      </c>
      <c r="N166" s="35"/>
      <c r="O166" s="35"/>
      <c r="P166" s="31" t="s">
        <v>48</v>
      </c>
      <c r="Q166" s="36">
        <f>SUM(Q157:Q165)</f>
        <v>46183750</v>
      </c>
      <c r="R166" s="35"/>
      <c r="S166" s="31" t="s">
        <v>48</v>
      </c>
      <c r="T166" s="51">
        <f>SUM(T157:T165)</f>
        <v>53183252.380952403</v>
      </c>
      <c r="U166" s="35"/>
      <c r="V166" s="31" t="s">
        <v>48</v>
      </c>
      <c r="W166" s="36">
        <f>SUM(W157:W165)</f>
        <v>51030100</v>
      </c>
    </row>
    <row r="167" spans="2:23" s="2" customFormat="1" hidden="1">
      <c r="D167" s="46"/>
      <c r="E167" s="48"/>
      <c r="G167" s="46"/>
      <c r="H167" s="48"/>
      <c r="J167" s="46"/>
      <c r="K167" s="49">
        <f>(E166+H166+K166)/3</f>
        <v>50285700.793650806</v>
      </c>
      <c r="P167" s="46"/>
      <c r="Q167" s="48"/>
      <c r="S167" s="46"/>
      <c r="T167" s="67"/>
      <c r="V167" s="46"/>
      <c r="W167" s="49">
        <f>(Q166+T166+W166)/3</f>
        <v>50132367.46031747</v>
      </c>
    </row>
    <row r="168" spans="2:23" hidden="1"/>
  </sheetData>
  <mergeCells count="92">
    <mergeCell ref="U155:W155"/>
    <mergeCell ref="B4:B5"/>
    <mergeCell ref="B19:B20"/>
    <mergeCell ref="B34:B35"/>
    <mergeCell ref="B48:B49"/>
    <mergeCell ref="B62:B63"/>
    <mergeCell ref="B78:B79"/>
    <mergeCell ref="B92:B93"/>
    <mergeCell ref="B107:B108"/>
    <mergeCell ref="B122:B123"/>
    <mergeCell ref="B140:B141"/>
    <mergeCell ref="B155:B156"/>
    <mergeCell ref="N4:N5"/>
    <mergeCell ref="N19:N20"/>
    <mergeCell ref="N34:N35"/>
    <mergeCell ref="N48:N49"/>
    <mergeCell ref="C155:E155"/>
    <mergeCell ref="F155:H155"/>
    <mergeCell ref="I155:K155"/>
    <mergeCell ref="O155:Q155"/>
    <mergeCell ref="R155:T155"/>
    <mergeCell ref="N155:N156"/>
    <mergeCell ref="V122:X122"/>
    <mergeCell ref="C140:E140"/>
    <mergeCell ref="F140:H140"/>
    <mergeCell ref="I140:K140"/>
    <mergeCell ref="O140:Q140"/>
    <mergeCell ref="R140:T140"/>
    <mergeCell ref="U140:W140"/>
    <mergeCell ref="N140:N141"/>
    <mergeCell ref="L107:N107"/>
    <mergeCell ref="O107:Q107"/>
    <mergeCell ref="C122:E122"/>
    <mergeCell ref="F122:H122"/>
    <mergeCell ref="I122:K122"/>
    <mergeCell ref="L122:N122"/>
    <mergeCell ref="O122:Q122"/>
    <mergeCell ref="C92:E92"/>
    <mergeCell ref="F92:H92"/>
    <mergeCell ref="I92:K92"/>
    <mergeCell ref="C107:E107"/>
    <mergeCell ref="F107:H107"/>
    <mergeCell ref="I107:K107"/>
    <mergeCell ref="U62:W62"/>
    <mergeCell ref="C78:E78"/>
    <mergeCell ref="F78:H78"/>
    <mergeCell ref="I78:K78"/>
    <mergeCell ref="O78:Q78"/>
    <mergeCell ref="R78:T78"/>
    <mergeCell ref="U78:W78"/>
    <mergeCell ref="N62:N63"/>
    <mergeCell ref="N78:N79"/>
    <mergeCell ref="C62:E62"/>
    <mergeCell ref="F62:H62"/>
    <mergeCell ref="I62:K62"/>
    <mergeCell ref="O62:Q62"/>
    <mergeCell ref="R62:T62"/>
    <mergeCell ref="C34:E34"/>
    <mergeCell ref="F34:H34"/>
    <mergeCell ref="I34:K34"/>
    <mergeCell ref="O34:Q34"/>
    <mergeCell ref="R34:T34"/>
    <mergeCell ref="U48:W48"/>
    <mergeCell ref="AC48:AE48"/>
    <mergeCell ref="AF48:AH48"/>
    <mergeCell ref="AI48:AK48"/>
    <mergeCell ref="Z34:Z35"/>
    <mergeCell ref="C48:E48"/>
    <mergeCell ref="F48:H48"/>
    <mergeCell ref="I48:K48"/>
    <mergeCell ref="O48:Q48"/>
    <mergeCell ref="R48:T48"/>
    <mergeCell ref="U4:W4"/>
    <mergeCell ref="Z4:AB4"/>
    <mergeCell ref="U34:W34"/>
    <mergeCell ref="AA34:AC34"/>
    <mergeCell ref="AC4:AE4"/>
    <mergeCell ref="AD34:AF34"/>
    <mergeCell ref="AF4:AH4"/>
    <mergeCell ref="U19:W19"/>
    <mergeCell ref="Y4:Y5"/>
    <mergeCell ref="AG34:AI34"/>
    <mergeCell ref="C19:E19"/>
    <mergeCell ref="F19:H19"/>
    <mergeCell ref="I19:K19"/>
    <mergeCell ref="O19:Q19"/>
    <mergeCell ref="R19:T19"/>
    <mergeCell ref="C4:E4"/>
    <mergeCell ref="F4:H4"/>
    <mergeCell ref="I4:K4"/>
    <mergeCell ref="O4:Q4"/>
    <mergeCell ref="R4:T4"/>
  </mergeCells>
  <pageMargins left="0.7" right="0.7" top="0.75" bottom="0.75" header="0.3" footer="0.3"/>
  <pageSetup paperSize="9" scale="26" fitToHeight="0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K168"/>
  <sheetViews>
    <sheetView showGridLines="0" topLeftCell="J28" zoomScale="95" zoomScaleNormal="95" workbookViewId="0">
      <selection activeCell="P39" sqref="P39"/>
    </sheetView>
  </sheetViews>
  <sheetFormatPr defaultColWidth="9" defaultRowHeight="15.75"/>
  <cols>
    <col min="1" max="1" width="9" style="29"/>
    <col min="2" max="2" width="37" style="29" customWidth="1"/>
    <col min="3" max="3" width="14.5703125" style="29" customWidth="1"/>
    <col min="4" max="4" width="8.85546875" style="29" customWidth="1"/>
    <col min="5" max="5" width="15.7109375" style="29" customWidth="1"/>
    <col min="6" max="6" width="14.5703125" style="29" customWidth="1"/>
    <col min="7" max="7" width="8" style="29" customWidth="1"/>
    <col min="8" max="8" width="15.7109375" style="29" customWidth="1"/>
    <col min="9" max="9" width="14.5703125" style="29" customWidth="1"/>
    <col min="10" max="10" width="8.28515625" style="29" customWidth="1"/>
    <col min="11" max="11" width="15.7109375" style="29" customWidth="1"/>
    <col min="12" max="12" width="15.28515625" style="29" customWidth="1"/>
    <col min="13" max="13" width="10.85546875" style="29" customWidth="1"/>
    <col min="14" max="14" width="26.42578125" style="29" customWidth="1"/>
    <col min="15" max="15" width="16.42578125" style="29" customWidth="1"/>
    <col min="16" max="16" width="8.85546875" style="29" customWidth="1"/>
    <col min="17" max="17" width="15.7109375" style="29" customWidth="1"/>
    <col min="18" max="18" width="14.5703125" style="29" customWidth="1"/>
    <col min="19" max="19" width="8" style="29" customWidth="1"/>
    <col min="20" max="20" width="17.28515625" style="29" customWidth="1"/>
    <col min="21" max="21" width="14.5703125" style="29" customWidth="1"/>
    <col min="22" max="22" width="13.140625" style="29" customWidth="1"/>
    <col min="23" max="23" width="15.7109375" style="29" customWidth="1"/>
    <col min="24" max="24" width="13" style="29" customWidth="1"/>
    <col min="25" max="25" width="26.42578125" style="29" customWidth="1"/>
    <col min="26" max="26" width="14.5703125" style="29" hidden="1" customWidth="1"/>
    <col min="27" max="27" width="8.85546875" style="29" hidden="1" customWidth="1"/>
    <col min="28" max="28" width="15.7109375" style="29" hidden="1" customWidth="1"/>
    <col min="29" max="29" width="14.5703125" style="29" customWidth="1"/>
    <col min="30" max="30" width="13.5703125" style="29" customWidth="1"/>
    <col min="31" max="31" width="17.28515625" style="29" customWidth="1"/>
    <col min="32" max="32" width="14.5703125" style="29" customWidth="1"/>
    <col min="33" max="33" width="13.140625" style="29" customWidth="1"/>
    <col min="34" max="34" width="16.85546875" style="29" customWidth="1"/>
    <col min="35" max="35" width="14.5703125" style="29" customWidth="1"/>
    <col min="36" max="36" width="9" style="29"/>
    <col min="37" max="37" width="15.7109375" style="29" customWidth="1"/>
    <col min="38" max="16384" width="9" style="29"/>
  </cols>
  <sheetData>
    <row r="2" spans="2:34">
      <c r="B2" s="29" t="s">
        <v>295</v>
      </c>
    </row>
    <row r="3" spans="2:34">
      <c r="B3" s="2" t="s">
        <v>227</v>
      </c>
      <c r="C3" s="29" t="s">
        <v>296</v>
      </c>
      <c r="F3" s="29" t="s">
        <v>297</v>
      </c>
      <c r="I3" s="29" t="s">
        <v>298</v>
      </c>
      <c r="N3" s="2" t="s">
        <v>230</v>
      </c>
      <c r="Y3" s="73"/>
      <c r="Z3" s="73"/>
      <c r="AA3" s="73"/>
      <c r="AB3" s="73"/>
      <c r="AC3" s="73"/>
      <c r="AD3" s="73"/>
      <c r="AE3" s="73"/>
      <c r="AF3" s="73"/>
      <c r="AG3" s="73"/>
      <c r="AH3" s="73"/>
    </row>
    <row r="4" spans="2:34">
      <c r="B4" s="379" t="s">
        <v>299</v>
      </c>
      <c r="C4" s="330" t="s">
        <v>10</v>
      </c>
      <c r="D4" s="331"/>
      <c r="E4" s="332"/>
      <c r="F4" s="330" t="s">
        <v>15</v>
      </c>
      <c r="G4" s="331"/>
      <c r="H4" s="332"/>
      <c r="I4" s="330" t="s">
        <v>17</v>
      </c>
      <c r="J4" s="331"/>
      <c r="K4" s="332"/>
      <c r="N4" s="375" t="s">
        <v>300</v>
      </c>
      <c r="O4" s="330" t="s">
        <v>10</v>
      </c>
      <c r="P4" s="331"/>
      <c r="Q4" s="332"/>
      <c r="R4" s="330" t="s">
        <v>15</v>
      </c>
      <c r="S4" s="331"/>
      <c r="T4" s="332"/>
      <c r="U4" s="330" t="s">
        <v>17</v>
      </c>
      <c r="V4" s="331"/>
      <c r="W4" s="332"/>
      <c r="Y4" s="374"/>
      <c r="Z4" s="373"/>
      <c r="AA4" s="373"/>
      <c r="AB4" s="373"/>
      <c r="AC4" s="373"/>
      <c r="AD4" s="373"/>
      <c r="AE4" s="373"/>
      <c r="AF4" s="373"/>
      <c r="AG4" s="373"/>
      <c r="AH4" s="373"/>
    </row>
    <row r="5" spans="2:34">
      <c r="B5" s="380"/>
      <c r="C5" s="30" t="s">
        <v>180</v>
      </c>
      <c r="D5" s="31" t="s">
        <v>41</v>
      </c>
      <c r="E5" s="31" t="s">
        <v>44</v>
      </c>
      <c r="F5" s="30" t="s">
        <v>180</v>
      </c>
      <c r="G5" s="31" t="s">
        <v>41</v>
      </c>
      <c r="H5" s="31" t="s">
        <v>44</v>
      </c>
      <c r="I5" s="30" t="s">
        <v>180</v>
      </c>
      <c r="J5" s="31" t="s">
        <v>41</v>
      </c>
      <c r="K5" s="31" t="s">
        <v>44</v>
      </c>
      <c r="N5" s="376"/>
      <c r="O5" s="30" t="s">
        <v>180</v>
      </c>
      <c r="P5" s="31" t="s">
        <v>41</v>
      </c>
      <c r="Q5" s="31" t="s">
        <v>44</v>
      </c>
      <c r="R5" s="30" t="s">
        <v>180</v>
      </c>
      <c r="S5" s="31" t="s">
        <v>41</v>
      </c>
      <c r="T5" s="31" t="s">
        <v>44</v>
      </c>
      <c r="U5" s="30" t="s">
        <v>180</v>
      </c>
      <c r="V5" s="31" t="s">
        <v>41</v>
      </c>
      <c r="W5" s="31" t="s">
        <v>44</v>
      </c>
      <c r="Y5" s="374"/>
      <c r="Z5" s="75"/>
      <c r="AA5" s="74"/>
      <c r="AB5" s="74"/>
      <c r="AC5" s="75"/>
      <c r="AD5" s="74"/>
      <c r="AE5" s="74"/>
      <c r="AF5" s="75"/>
      <c r="AG5" s="74"/>
      <c r="AH5" s="74"/>
    </row>
    <row r="6" spans="2:34">
      <c r="B6" s="32" t="s">
        <v>233</v>
      </c>
      <c r="C6" s="33">
        <v>578120000</v>
      </c>
      <c r="D6" s="32">
        <v>1</v>
      </c>
      <c r="E6" s="33">
        <f t="shared" ref="E6:E14" si="0">+C6*D6</f>
        <v>578120000</v>
      </c>
      <c r="F6" s="33">
        <v>630240000</v>
      </c>
      <c r="G6" s="32">
        <v>1</v>
      </c>
      <c r="H6" s="33">
        <f t="shared" ref="H6:H14" si="1">+F6*G6</f>
        <v>630240000</v>
      </c>
      <c r="I6" s="33">
        <v>194600000</v>
      </c>
      <c r="J6" s="32">
        <v>1</v>
      </c>
      <c r="K6" s="33">
        <f t="shared" ref="K6:K14" si="2">+I6*J6</f>
        <v>194600000</v>
      </c>
      <c r="N6" s="32" t="s">
        <v>233</v>
      </c>
      <c r="O6" s="33">
        <v>347600000</v>
      </c>
      <c r="P6" s="32">
        <v>1</v>
      </c>
      <c r="Q6" s="33">
        <f t="shared" ref="Q6:Q14" si="3">+O6*P6</f>
        <v>347600000</v>
      </c>
      <c r="R6" s="33">
        <v>259240000</v>
      </c>
      <c r="S6" s="32">
        <v>1</v>
      </c>
      <c r="T6" s="33">
        <f t="shared" ref="T6:T14" si="4">+R6*S6</f>
        <v>259240000</v>
      </c>
      <c r="U6" s="33">
        <v>74440000</v>
      </c>
      <c r="V6" s="32">
        <v>1</v>
      </c>
      <c r="W6" s="33">
        <f t="shared" ref="W6:W14" si="5">+U6*V6</f>
        <v>74440000</v>
      </c>
      <c r="Y6" s="73"/>
      <c r="Z6" s="37"/>
      <c r="AA6" s="73"/>
      <c r="AB6" s="37"/>
      <c r="AC6" s="37"/>
      <c r="AD6" s="73"/>
      <c r="AE6" s="37"/>
      <c r="AF6" s="37"/>
      <c r="AG6" s="73"/>
      <c r="AH6" s="37"/>
    </row>
    <row r="7" spans="2:34">
      <c r="B7" s="32" t="s">
        <v>234</v>
      </c>
      <c r="C7" s="33">
        <v>179570093</v>
      </c>
      <c r="D7" s="32">
        <v>1</v>
      </c>
      <c r="E7" s="33">
        <f t="shared" si="0"/>
        <v>179570093</v>
      </c>
      <c r="F7" s="33">
        <v>254238552</v>
      </c>
      <c r="G7" s="32">
        <v>1</v>
      </c>
      <c r="H7" s="33">
        <f t="shared" si="1"/>
        <v>254238552</v>
      </c>
      <c r="I7" s="33">
        <v>67589568</v>
      </c>
      <c r="J7" s="32">
        <v>1</v>
      </c>
      <c r="K7" s="33">
        <f t="shared" si="2"/>
        <v>67589568</v>
      </c>
      <c r="N7" s="32" t="s">
        <v>234</v>
      </c>
      <c r="O7" s="33">
        <v>96989549</v>
      </c>
      <c r="P7" s="32">
        <v>1</v>
      </c>
      <c r="Q7" s="33">
        <f t="shared" si="3"/>
        <v>96989549</v>
      </c>
      <c r="R7" s="33">
        <v>90580536</v>
      </c>
      <c r="S7" s="32">
        <v>1</v>
      </c>
      <c r="T7" s="33">
        <f t="shared" si="4"/>
        <v>90580536</v>
      </c>
      <c r="U7" s="33">
        <v>19668096</v>
      </c>
      <c r="V7" s="32">
        <v>1</v>
      </c>
      <c r="W7" s="33">
        <f t="shared" si="5"/>
        <v>19668096</v>
      </c>
      <c r="Y7" s="73"/>
      <c r="Z7" s="37"/>
      <c r="AA7" s="73"/>
      <c r="AB7" s="37"/>
      <c r="AC7" s="37"/>
      <c r="AD7" s="73"/>
      <c r="AE7" s="37"/>
      <c r="AF7" s="37"/>
      <c r="AG7" s="73"/>
      <c r="AH7" s="37"/>
    </row>
    <row r="8" spans="2:34">
      <c r="B8" s="32" t="s">
        <v>235</v>
      </c>
      <c r="C8" s="33">
        <v>6600</v>
      </c>
      <c r="D8" s="32">
        <v>0</v>
      </c>
      <c r="E8" s="33">
        <f t="shared" si="0"/>
        <v>0</v>
      </c>
      <c r="F8" s="33">
        <v>6600</v>
      </c>
      <c r="G8" s="32">
        <v>0</v>
      </c>
      <c r="H8" s="33">
        <f t="shared" si="1"/>
        <v>0</v>
      </c>
      <c r="I8" s="33">
        <v>6600</v>
      </c>
      <c r="J8" s="32">
        <v>0</v>
      </c>
      <c r="K8" s="33">
        <f t="shared" si="2"/>
        <v>0</v>
      </c>
      <c r="N8" s="32" t="s">
        <v>235</v>
      </c>
      <c r="O8" s="33">
        <v>6600</v>
      </c>
      <c r="P8" s="32">
        <v>0</v>
      </c>
      <c r="Q8" s="33">
        <f t="shared" si="3"/>
        <v>0</v>
      </c>
      <c r="R8" s="33">
        <v>6600</v>
      </c>
      <c r="S8" s="32">
        <v>0</v>
      </c>
      <c r="T8" s="33">
        <f t="shared" si="4"/>
        <v>0</v>
      </c>
      <c r="U8" s="33">
        <v>6600</v>
      </c>
      <c r="V8" s="32">
        <v>0</v>
      </c>
      <c r="W8" s="33">
        <f t="shared" si="5"/>
        <v>0</v>
      </c>
      <c r="Y8" s="73"/>
      <c r="Z8" s="37"/>
      <c r="AA8" s="73"/>
      <c r="AB8" s="37"/>
      <c r="AC8" s="37"/>
      <c r="AD8" s="73"/>
      <c r="AE8" s="37"/>
      <c r="AF8" s="37"/>
      <c r="AG8" s="73"/>
      <c r="AH8" s="37"/>
    </row>
    <row r="9" spans="2:34">
      <c r="B9" s="32" t="s">
        <v>236</v>
      </c>
      <c r="C9" s="33">
        <v>80300</v>
      </c>
      <c r="D9" s="61">
        <f>OT!E17</f>
        <v>372.56543542074348</v>
      </c>
      <c r="E9" s="33">
        <f t="shared" si="0"/>
        <v>29917004.464285702</v>
      </c>
      <c r="F9" s="33">
        <v>80300</v>
      </c>
      <c r="G9" s="32">
        <v>733</v>
      </c>
      <c r="H9" s="33">
        <f t="shared" si="1"/>
        <v>58859900</v>
      </c>
      <c r="I9" s="33">
        <v>80300</v>
      </c>
      <c r="J9" s="32">
        <v>144</v>
      </c>
      <c r="K9" s="33">
        <f t="shared" si="2"/>
        <v>11563200</v>
      </c>
      <c r="N9" s="32" t="s">
        <v>236</v>
      </c>
      <c r="O9" s="33">
        <v>80300</v>
      </c>
      <c r="P9" s="61">
        <f>D9</f>
        <v>372.56543542074348</v>
      </c>
      <c r="Q9" s="33">
        <f t="shared" si="3"/>
        <v>29917004.464285702</v>
      </c>
      <c r="R9" s="33">
        <v>80300</v>
      </c>
      <c r="S9" s="64">
        <f>G24</f>
        <v>647.20000000000005</v>
      </c>
      <c r="T9" s="33">
        <f t="shared" si="4"/>
        <v>51970160</v>
      </c>
      <c r="U9" s="33">
        <v>80300</v>
      </c>
      <c r="V9" s="64">
        <f>J24</f>
        <v>122.73333333333329</v>
      </c>
      <c r="W9" s="33">
        <f t="shared" si="5"/>
        <v>9855486.6666666642</v>
      </c>
      <c r="Y9" s="73"/>
      <c r="Z9" s="37"/>
      <c r="AA9" s="76"/>
      <c r="AB9" s="37"/>
      <c r="AC9" s="37"/>
      <c r="AD9" s="77"/>
      <c r="AE9" s="37"/>
      <c r="AF9" s="37"/>
      <c r="AG9" s="77"/>
      <c r="AH9" s="37"/>
    </row>
    <row r="10" spans="2:34">
      <c r="B10" s="32" t="s">
        <v>237</v>
      </c>
      <c r="C10" s="33">
        <v>1000000</v>
      </c>
      <c r="D10" s="32">
        <v>4</v>
      </c>
      <c r="E10" s="33">
        <f t="shared" si="0"/>
        <v>4000000</v>
      </c>
      <c r="F10" s="33">
        <v>1000000</v>
      </c>
      <c r="G10" s="32">
        <v>6</v>
      </c>
      <c r="H10" s="33">
        <f t="shared" si="1"/>
        <v>6000000</v>
      </c>
      <c r="I10" s="33">
        <v>1000000</v>
      </c>
      <c r="J10" s="32">
        <v>2</v>
      </c>
      <c r="K10" s="33">
        <f t="shared" si="2"/>
        <v>2000000</v>
      </c>
      <c r="N10" s="32" t="s">
        <v>237</v>
      </c>
      <c r="O10" s="33">
        <v>1000000</v>
      </c>
      <c r="P10" s="32">
        <v>4</v>
      </c>
      <c r="Q10" s="33">
        <f t="shared" si="3"/>
        <v>4000000</v>
      </c>
      <c r="R10" s="33">
        <v>1000000</v>
      </c>
      <c r="S10" s="32">
        <v>6</v>
      </c>
      <c r="T10" s="33">
        <f t="shared" si="4"/>
        <v>6000000</v>
      </c>
      <c r="U10" s="33">
        <v>1000000</v>
      </c>
      <c r="V10" s="32">
        <v>2</v>
      </c>
      <c r="W10" s="33">
        <f t="shared" si="5"/>
        <v>2000000</v>
      </c>
      <c r="Y10" s="73"/>
      <c r="Z10" s="37"/>
      <c r="AA10" s="73"/>
      <c r="AB10" s="37"/>
      <c r="AC10" s="37"/>
      <c r="AD10" s="73"/>
      <c r="AE10" s="37"/>
      <c r="AF10" s="37"/>
      <c r="AG10" s="73"/>
      <c r="AH10" s="37"/>
    </row>
    <row r="11" spans="2:34">
      <c r="B11" s="32" t="s">
        <v>238</v>
      </c>
      <c r="C11" s="33">
        <v>500000</v>
      </c>
      <c r="D11" s="32">
        <v>0</v>
      </c>
      <c r="E11" s="33">
        <f t="shared" si="0"/>
        <v>0</v>
      </c>
      <c r="F11" s="33">
        <v>500000</v>
      </c>
      <c r="G11" s="32">
        <v>0</v>
      </c>
      <c r="H11" s="33">
        <f t="shared" si="1"/>
        <v>0</v>
      </c>
      <c r="I11" s="33">
        <v>500000</v>
      </c>
      <c r="J11" s="32">
        <v>0</v>
      </c>
      <c r="K11" s="33">
        <f t="shared" si="2"/>
        <v>0</v>
      </c>
      <c r="N11" s="32" t="s">
        <v>238</v>
      </c>
      <c r="O11" s="33">
        <v>500000</v>
      </c>
      <c r="P11" s="32">
        <v>0</v>
      </c>
      <c r="Q11" s="33">
        <f t="shared" si="3"/>
        <v>0</v>
      </c>
      <c r="R11" s="33">
        <v>500000</v>
      </c>
      <c r="S11" s="32">
        <v>0</v>
      </c>
      <c r="T11" s="33">
        <f t="shared" si="4"/>
        <v>0</v>
      </c>
      <c r="U11" s="33">
        <v>500000</v>
      </c>
      <c r="V11" s="32">
        <v>0</v>
      </c>
      <c r="W11" s="33">
        <f t="shared" si="5"/>
        <v>0</v>
      </c>
      <c r="Y11" s="73"/>
      <c r="Z11" s="37"/>
      <c r="AA11" s="73"/>
      <c r="AB11" s="37"/>
      <c r="AC11" s="37"/>
      <c r="AD11" s="73"/>
      <c r="AE11" s="37"/>
      <c r="AF11" s="37"/>
      <c r="AG11" s="73"/>
      <c r="AH11" s="37"/>
    </row>
    <row r="12" spans="2:34">
      <c r="B12" s="32" t="s">
        <v>239</v>
      </c>
      <c r="C12" s="33">
        <v>420000</v>
      </c>
      <c r="D12" s="32">
        <v>0</v>
      </c>
      <c r="E12" s="33">
        <f t="shared" si="0"/>
        <v>0</v>
      </c>
      <c r="F12" s="33">
        <v>420000</v>
      </c>
      <c r="G12" s="32">
        <v>0</v>
      </c>
      <c r="H12" s="33">
        <f t="shared" si="1"/>
        <v>0</v>
      </c>
      <c r="I12" s="33">
        <v>420000</v>
      </c>
      <c r="J12" s="32">
        <v>0</v>
      </c>
      <c r="K12" s="33">
        <f t="shared" si="2"/>
        <v>0</v>
      </c>
      <c r="N12" s="32" t="s">
        <v>239</v>
      </c>
      <c r="O12" s="33">
        <v>420000</v>
      </c>
      <c r="P12" s="32">
        <v>0</v>
      </c>
      <c r="Q12" s="33">
        <f t="shared" si="3"/>
        <v>0</v>
      </c>
      <c r="R12" s="33">
        <v>420000</v>
      </c>
      <c r="S12" s="32">
        <v>0</v>
      </c>
      <c r="T12" s="33">
        <f t="shared" si="4"/>
        <v>0</v>
      </c>
      <c r="U12" s="33">
        <v>420000</v>
      </c>
      <c r="V12" s="32">
        <v>0</v>
      </c>
      <c r="W12" s="33">
        <f t="shared" si="5"/>
        <v>0</v>
      </c>
      <c r="Y12" s="73"/>
      <c r="Z12" s="37"/>
      <c r="AA12" s="73"/>
      <c r="AB12" s="37"/>
      <c r="AC12" s="37"/>
      <c r="AD12" s="73"/>
      <c r="AE12" s="37"/>
      <c r="AF12" s="37"/>
      <c r="AG12" s="73"/>
      <c r="AH12" s="37"/>
    </row>
    <row r="13" spans="2:34">
      <c r="B13" s="32" t="s">
        <v>240</v>
      </c>
      <c r="C13" s="33">
        <v>450000</v>
      </c>
      <c r="D13" s="32">
        <v>0</v>
      </c>
      <c r="E13" s="33">
        <f t="shared" si="0"/>
        <v>0</v>
      </c>
      <c r="F13" s="33">
        <v>450000</v>
      </c>
      <c r="G13" s="32">
        <v>0</v>
      </c>
      <c r="H13" s="33">
        <f t="shared" si="1"/>
        <v>0</v>
      </c>
      <c r="I13" s="33">
        <v>450000</v>
      </c>
      <c r="J13" s="32">
        <v>0</v>
      </c>
      <c r="K13" s="33">
        <f t="shared" si="2"/>
        <v>0</v>
      </c>
      <c r="N13" s="32" t="s">
        <v>240</v>
      </c>
      <c r="O13" s="33">
        <v>450000</v>
      </c>
      <c r="P13" s="32">
        <v>0</v>
      </c>
      <c r="Q13" s="33">
        <f t="shared" si="3"/>
        <v>0</v>
      </c>
      <c r="R13" s="33">
        <v>450000</v>
      </c>
      <c r="S13" s="32">
        <v>0</v>
      </c>
      <c r="T13" s="33">
        <f t="shared" si="4"/>
        <v>0</v>
      </c>
      <c r="U13" s="33">
        <v>450000</v>
      </c>
      <c r="V13" s="32">
        <v>0</v>
      </c>
      <c r="W13" s="33">
        <f t="shared" si="5"/>
        <v>0</v>
      </c>
      <c r="Y13" s="73"/>
      <c r="Z13" s="37"/>
      <c r="AA13" s="73"/>
      <c r="AB13" s="37"/>
      <c r="AC13" s="37"/>
      <c r="AD13" s="73"/>
      <c r="AE13" s="37"/>
      <c r="AF13" s="37"/>
      <c r="AG13" s="73"/>
      <c r="AH13" s="37"/>
    </row>
    <row r="14" spans="2:34">
      <c r="B14" s="32" t="s">
        <v>183</v>
      </c>
      <c r="C14" s="33">
        <v>5700</v>
      </c>
      <c r="D14" s="32">
        <v>42</v>
      </c>
      <c r="E14" s="33">
        <f t="shared" si="0"/>
        <v>239400</v>
      </c>
      <c r="F14" s="33">
        <v>5700</v>
      </c>
      <c r="G14" s="32">
        <v>1172</v>
      </c>
      <c r="H14" s="33">
        <f t="shared" si="1"/>
        <v>6680400</v>
      </c>
      <c r="I14" s="33">
        <v>5700</v>
      </c>
      <c r="J14" s="32">
        <v>177</v>
      </c>
      <c r="K14" s="33">
        <f t="shared" si="2"/>
        <v>1008900</v>
      </c>
      <c r="N14" s="32" t="s">
        <v>241</v>
      </c>
      <c r="O14" s="33">
        <v>5700</v>
      </c>
      <c r="P14" s="32">
        <v>42</v>
      </c>
      <c r="Q14" s="33">
        <f t="shared" si="3"/>
        <v>239400</v>
      </c>
      <c r="R14" s="33">
        <v>5700</v>
      </c>
      <c r="S14" s="32">
        <v>1172</v>
      </c>
      <c r="T14" s="33">
        <f t="shared" si="4"/>
        <v>6680400</v>
      </c>
      <c r="U14" s="33">
        <v>5700</v>
      </c>
      <c r="V14" s="32">
        <v>177</v>
      </c>
      <c r="W14" s="33">
        <f t="shared" si="5"/>
        <v>1008900</v>
      </c>
      <c r="Y14" s="73"/>
      <c r="Z14" s="37"/>
      <c r="AA14" s="73"/>
      <c r="AB14" s="37"/>
      <c r="AC14" s="37"/>
      <c r="AD14" s="73"/>
      <c r="AE14" s="37"/>
      <c r="AF14" s="37"/>
      <c r="AG14" s="73"/>
      <c r="AH14" s="37"/>
    </row>
    <row r="15" spans="2:34" s="2" customFormat="1">
      <c r="B15" s="35"/>
      <c r="C15" s="35"/>
      <c r="D15" s="31" t="s">
        <v>48</v>
      </c>
      <c r="E15" s="36">
        <f>SUM(E6:E14)</f>
        <v>791846497.46428573</v>
      </c>
      <c r="F15" s="35"/>
      <c r="G15" s="31" t="s">
        <v>48</v>
      </c>
      <c r="H15" s="36">
        <f>SUM(H6:H14)</f>
        <v>956018852</v>
      </c>
      <c r="I15" s="35"/>
      <c r="J15" s="31" t="s">
        <v>48</v>
      </c>
      <c r="K15" s="36">
        <f>SUM(K6:K14)</f>
        <v>276761668</v>
      </c>
      <c r="N15" s="35"/>
      <c r="O15" s="35"/>
      <c r="P15" s="31" t="s">
        <v>48</v>
      </c>
      <c r="Q15" s="36">
        <f>SUM(Q6:Q14)</f>
        <v>478745953.46428573</v>
      </c>
      <c r="R15" s="35"/>
      <c r="S15" s="31" t="s">
        <v>48</v>
      </c>
      <c r="T15" s="51">
        <f>SUM(T6:T14)</f>
        <v>414471096</v>
      </c>
      <c r="U15" s="35"/>
      <c r="V15" s="31" t="s">
        <v>48</v>
      </c>
      <c r="W15" s="36">
        <f>SUM(W6:W14)</f>
        <v>106972482.66666666</v>
      </c>
      <c r="Y15" s="78"/>
      <c r="Z15" s="78"/>
      <c r="AA15" s="74"/>
      <c r="AB15" s="79"/>
      <c r="AC15" s="78"/>
      <c r="AD15" s="74"/>
      <c r="AE15" s="80"/>
      <c r="AF15" s="78"/>
      <c r="AG15" s="74"/>
      <c r="AH15" s="79"/>
    </row>
    <row r="16" spans="2:34" s="2" customFormat="1">
      <c r="B16" s="41"/>
      <c r="C16" s="62">
        <f>C21-C6</f>
        <v>-21268000</v>
      </c>
      <c r="D16" s="42"/>
      <c r="E16" s="43">
        <f>E15/E17</f>
        <v>43991472.081349209</v>
      </c>
      <c r="F16" s="41"/>
      <c r="G16" s="42"/>
      <c r="H16" s="43">
        <f>H15/H17</f>
        <v>50316781.684210524</v>
      </c>
      <c r="I16" s="41"/>
      <c r="J16" s="42"/>
      <c r="K16" s="43">
        <f>K15/K17</f>
        <v>46126944.666666664</v>
      </c>
      <c r="L16" s="72">
        <f>SUM(E15,H15,K15,E89,H89,K89)/47</f>
        <v>47644035.903495446</v>
      </c>
      <c r="N16" s="41"/>
      <c r="O16" s="41"/>
      <c r="P16" s="42"/>
      <c r="Q16" s="43">
        <f>Q15/P17</f>
        <v>47874595.346428573</v>
      </c>
      <c r="R16" s="41"/>
      <c r="S16" s="42"/>
      <c r="T16" s="43">
        <f>T15/S17</f>
        <v>59210156.571428575</v>
      </c>
      <c r="U16" s="41"/>
      <c r="V16" s="42"/>
      <c r="W16" s="43">
        <f>W15/V17</f>
        <v>53486241.333333328</v>
      </c>
      <c r="Y16" s="78"/>
      <c r="Z16" s="78"/>
      <c r="AA16" s="74"/>
      <c r="AB16" s="79"/>
      <c r="AC16" s="78"/>
      <c r="AD16" s="74"/>
      <c r="AE16" s="79"/>
      <c r="AF16" s="78"/>
      <c r="AG16" s="74"/>
      <c r="AH16" s="79"/>
    </row>
    <row r="17" spans="2:34" s="2" customFormat="1">
      <c r="B17" s="41"/>
      <c r="C17" s="62">
        <f>C22-C7</f>
        <v>-21521453</v>
      </c>
      <c r="D17" s="42"/>
      <c r="E17" s="43">
        <v>18</v>
      </c>
      <c r="F17" s="41"/>
      <c r="G17" s="42"/>
      <c r="H17" s="43">
        <v>19</v>
      </c>
      <c r="I17" s="41"/>
      <c r="J17" s="42"/>
      <c r="K17" s="43">
        <v>6</v>
      </c>
      <c r="L17" s="65">
        <v>49912198.1091692</v>
      </c>
      <c r="N17" s="41"/>
      <c r="O17" s="41"/>
      <c r="P17" s="42">
        <v>10</v>
      </c>
      <c r="Q17" s="43"/>
      <c r="R17" s="41"/>
      <c r="S17" s="42">
        <v>7</v>
      </c>
      <c r="T17" s="52"/>
      <c r="U17" s="41"/>
      <c r="V17" s="42">
        <v>2</v>
      </c>
      <c r="W17" s="43"/>
      <c r="Y17" s="78"/>
      <c r="Z17" s="78"/>
      <c r="AA17" s="74"/>
      <c r="AB17" s="79"/>
      <c r="AC17" s="78"/>
      <c r="AD17" s="74"/>
      <c r="AE17" s="80"/>
      <c r="AF17" s="78"/>
      <c r="AG17" s="74"/>
      <c r="AH17" s="79"/>
    </row>
    <row r="18" spans="2:34" s="2" customFormat="1">
      <c r="B18" s="41"/>
      <c r="C18" s="29" t="s">
        <v>280</v>
      </c>
      <c r="D18" s="42"/>
      <c r="E18" s="43"/>
      <c r="F18" s="29" t="s">
        <v>281</v>
      </c>
      <c r="G18" s="42"/>
      <c r="H18" s="43"/>
      <c r="I18" s="29" t="s">
        <v>282</v>
      </c>
      <c r="J18" s="42"/>
      <c r="K18" s="43"/>
      <c r="N18" s="41"/>
      <c r="O18" s="41"/>
      <c r="P18" s="42"/>
      <c r="Q18" s="43"/>
      <c r="R18" s="41"/>
      <c r="S18" s="42"/>
      <c r="T18" s="52"/>
      <c r="U18" s="41"/>
      <c r="V18" s="42"/>
      <c r="W18" s="43"/>
    </row>
    <row r="19" spans="2:34">
      <c r="B19" s="375" t="s">
        <v>301</v>
      </c>
      <c r="C19" s="330" t="s">
        <v>10</v>
      </c>
      <c r="D19" s="331"/>
      <c r="E19" s="332"/>
      <c r="F19" s="330" t="s">
        <v>15</v>
      </c>
      <c r="G19" s="331"/>
      <c r="H19" s="332"/>
      <c r="I19" s="330" t="s">
        <v>17</v>
      </c>
      <c r="J19" s="331"/>
      <c r="K19" s="332"/>
      <c r="N19" s="375" t="s">
        <v>302</v>
      </c>
      <c r="O19" s="330" t="s">
        <v>10</v>
      </c>
      <c r="P19" s="331"/>
      <c r="Q19" s="332"/>
      <c r="R19" s="330" t="s">
        <v>15</v>
      </c>
      <c r="S19" s="331"/>
      <c r="T19" s="332"/>
      <c r="U19" s="330" t="s">
        <v>17</v>
      </c>
      <c r="V19" s="331"/>
      <c r="W19" s="332"/>
    </row>
    <row r="20" spans="2:34">
      <c r="B20" s="376"/>
      <c r="C20" s="30" t="s">
        <v>180</v>
      </c>
      <c r="D20" s="31" t="s">
        <v>41</v>
      </c>
      <c r="E20" s="31" t="s">
        <v>44</v>
      </c>
      <c r="F20" s="30" t="s">
        <v>180</v>
      </c>
      <c r="G20" s="31" t="s">
        <v>41</v>
      </c>
      <c r="H20" s="31" t="s">
        <v>44</v>
      </c>
      <c r="I20" s="30" t="s">
        <v>180</v>
      </c>
      <c r="J20" s="31" t="s">
        <v>41</v>
      </c>
      <c r="K20" s="31" t="s">
        <v>44</v>
      </c>
      <c r="N20" s="376"/>
      <c r="O20" s="30" t="s">
        <v>180</v>
      </c>
      <c r="P20" s="31" t="s">
        <v>41</v>
      </c>
      <c r="Q20" s="31" t="s">
        <v>44</v>
      </c>
      <c r="R20" s="30" t="s">
        <v>180</v>
      </c>
      <c r="S20" s="31" t="s">
        <v>41</v>
      </c>
      <c r="T20" s="31" t="s">
        <v>44</v>
      </c>
      <c r="U20" s="30" t="s">
        <v>180</v>
      </c>
      <c r="V20" s="31" t="s">
        <v>41</v>
      </c>
      <c r="W20" s="31" t="s">
        <v>44</v>
      </c>
    </row>
    <row r="21" spans="2:34">
      <c r="B21" s="32" t="s">
        <v>233</v>
      </c>
      <c r="C21" s="33">
        <v>556852000</v>
      </c>
      <c r="D21" s="32">
        <v>1</v>
      </c>
      <c r="E21" s="33">
        <f t="shared" ref="E21:E29" si="6">+C21*D21</f>
        <v>556852000</v>
      </c>
      <c r="F21" s="33">
        <v>610816000</v>
      </c>
      <c r="G21" s="32">
        <v>1</v>
      </c>
      <c r="H21" s="33">
        <f t="shared" ref="H21:H29" si="7">+F21*G21</f>
        <v>610816000</v>
      </c>
      <c r="I21" s="33">
        <v>193184000</v>
      </c>
      <c r="J21" s="32">
        <v>1</v>
      </c>
      <c r="K21" s="33">
        <f t="shared" ref="K21:K29" si="8">+I21*J21</f>
        <v>193184000</v>
      </c>
      <c r="L21" s="28"/>
      <c r="N21" s="32" t="s">
        <v>233</v>
      </c>
      <c r="O21" s="33">
        <v>556852000</v>
      </c>
      <c r="P21" s="32">
        <v>1</v>
      </c>
      <c r="Q21" s="33">
        <f t="shared" ref="Q21:Q29" si="9">+O21*P21</f>
        <v>556852000</v>
      </c>
      <c r="R21" s="33">
        <v>610816000</v>
      </c>
      <c r="S21" s="32">
        <v>1</v>
      </c>
      <c r="T21" s="33">
        <f t="shared" ref="T21:T29" si="10">+R21*S21</f>
        <v>610816000</v>
      </c>
      <c r="U21" s="33">
        <v>193184000</v>
      </c>
      <c r="V21" s="32">
        <v>1</v>
      </c>
      <c r="W21" s="33">
        <f t="shared" ref="W21:W29" si="11">+U21*V21</f>
        <v>193184000</v>
      </c>
    </row>
    <row r="22" spans="2:34">
      <c r="B22" s="32" t="s">
        <v>234</v>
      </c>
      <c r="C22" s="33">
        <v>158048640</v>
      </c>
      <c r="D22" s="32">
        <v>1</v>
      </c>
      <c r="E22" s="33">
        <f t="shared" si="6"/>
        <v>158048640</v>
      </c>
      <c r="F22" s="33">
        <v>222780420</v>
      </c>
      <c r="G22" s="32">
        <v>1</v>
      </c>
      <c r="H22" s="33">
        <f t="shared" si="7"/>
        <v>222780420</v>
      </c>
      <c r="I22" s="33">
        <v>68328720</v>
      </c>
      <c r="J22" s="32">
        <v>1</v>
      </c>
      <c r="K22" s="33">
        <f t="shared" si="8"/>
        <v>68328720</v>
      </c>
      <c r="L22" s="28"/>
      <c r="N22" s="32" t="s">
        <v>234</v>
      </c>
      <c r="O22" s="33">
        <v>158048640</v>
      </c>
      <c r="P22" s="32">
        <v>1</v>
      </c>
      <c r="Q22" s="33">
        <f t="shared" si="9"/>
        <v>158048640</v>
      </c>
      <c r="R22" s="33">
        <v>222780420</v>
      </c>
      <c r="S22" s="32">
        <v>1</v>
      </c>
      <c r="T22" s="33">
        <f t="shared" si="10"/>
        <v>222780420</v>
      </c>
      <c r="U22" s="33">
        <v>68328720</v>
      </c>
      <c r="V22" s="32">
        <v>1</v>
      </c>
      <c r="W22" s="33">
        <f t="shared" si="11"/>
        <v>68328720</v>
      </c>
    </row>
    <row r="23" spans="2:34">
      <c r="B23" s="32" t="s">
        <v>235</v>
      </c>
      <c r="C23" s="33">
        <v>6600</v>
      </c>
      <c r="D23" s="32">
        <v>0</v>
      </c>
      <c r="E23" s="33">
        <f t="shared" si="6"/>
        <v>0</v>
      </c>
      <c r="F23" s="33">
        <v>6600</v>
      </c>
      <c r="G23" s="32">
        <v>0</v>
      </c>
      <c r="H23" s="33">
        <f t="shared" si="7"/>
        <v>0</v>
      </c>
      <c r="I23" s="33">
        <v>6600</v>
      </c>
      <c r="J23" s="32">
        <v>0</v>
      </c>
      <c r="K23" s="33">
        <f t="shared" si="8"/>
        <v>0</v>
      </c>
      <c r="N23" s="32" t="s">
        <v>235</v>
      </c>
      <c r="O23" s="33">
        <v>4300</v>
      </c>
      <c r="P23" s="32">
        <v>0</v>
      </c>
      <c r="Q23" s="33">
        <f t="shared" si="9"/>
        <v>0</v>
      </c>
      <c r="R23" s="33">
        <v>4300</v>
      </c>
      <c r="S23" s="32">
        <v>0</v>
      </c>
      <c r="T23" s="33">
        <f t="shared" si="10"/>
        <v>0</v>
      </c>
      <c r="U23" s="33">
        <v>4300</v>
      </c>
      <c r="V23" s="32">
        <v>0</v>
      </c>
      <c r="W23" s="33">
        <f t="shared" si="11"/>
        <v>0</v>
      </c>
    </row>
    <row r="24" spans="2:34">
      <c r="B24" s="32" t="s">
        <v>236</v>
      </c>
      <c r="C24" s="33">
        <v>80300</v>
      </c>
      <c r="D24" s="61">
        <f>D9</f>
        <v>372.56543542074348</v>
      </c>
      <c r="E24" s="33">
        <f t="shared" si="6"/>
        <v>29917004.464285702</v>
      </c>
      <c r="F24" s="33">
        <v>80300</v>
      </c>
      <c r="G24" s="63">
        <f>G9-N32</f>
        <v>647.20000000000005</v>
      </c>
      <c r="H24" s="33">
        <f t="shared" si="7"/>
        <v>51970160</v>
      </c>
      <c r="I24" s="33">
        <v>80300</v>
      </c>
      <c r="J24" s="63">
        <f>J9-O32</f>
        <v>122.73333333333329</v>
      </c>
      <c r="K24" s="33">
        <f t="shared" si="8"/>
        <v>9855486.6666666642</v>
      </c>
      <c r="N24" s="32" t="s">
        <v>236</v>
      </c>
      <c r="O24" s="33">
        <v>80300</v>
      </c>
      <c r="P24" s="61">
        <f>P9</f>
        <v>372.56543542074348</v>
      </c>
      <c r="Q24" s="33">
        <f t="shared" si="9"/>
        <v>29917004.464285702</v>
      </c>
      <c r="R24" s="33">
        <v>80300</v>
      </c>
      <c r="S24" s="63">
        <f>S9-Z32</f>
        <v>647.20000000000005</v>
      </c>
      <c r="T24" s="33">
        <f t="shared" si="10"/>
        <v>51970160</v>
      </c>
      <c r="U24" s="33">
        <v>80300</v>
      </c>
      <c r="V24" s="63">
        <f>V9-AA32</f>
        <v>122.73333333333329</v>
      </c>
      <c r="W24" s="33">
        <f t="shared" si="11"/>
        <v>9855486.6666666642</v>
      </c>
      <c r="AC24" s="28">
        <v>749217644.46428597</v>
      </c>
      <c r="AD24" s="28">
        <v>892166580</v>
      </c>
      <c r="AE24" s="28">
        <v>273568206.66666698</v>
      </c>
      <c r="AG24" s="28"/>
      <c r="AH24" s="28"/>
    </row>
    <row r="25" spans="2:34">
      <c r="B25" s="32" t="s">
        <v>237</v>
      </c>
      <c r="C25" s="33">
        <v>1100000</v>
      </c>
      <c r="D25" s="32">
        <v>4</v>
      </c>
      <c r="E25" s="33">
        <f t="shared" si="6"/>
        <v>4400000</v>
      </c>
      <c r="F25" s="33">
        <v>1100000</v>
      </c>
      <c r="G25" s="32">
        <v>6</v>
      </c>
      <c r="H25" s="33">
        <f t="shared" si="7"/>
        <v>6600000</v>
      </c>
      <c r="I25" s="33">
        <v>1100000</v>
      </c>
      <c r="J25" s="32">
        <v>2</v>
      </c>
      <c r="K25" s="33">
        <f t="shared" si="8"/>
        <v>2200000</v>
      </c>
      <c r="N25" s="32" t="s">
        <v>237</v>
      </c>
      <c r="O25" s="33">
        <v>870000</v>
      </c>
      <c r="P25" s="32">
        <v>4</v>
      </c>
      <c r="Q25" s="33">
        <f t="shared" si="9"/>
        <v>3480000</v>
      </c>
      <c r="R25" s="33">
        <v>870000</v>
      </c>
      <c r="S25" s="32">
        <v>6</v>
      </c>
      <c r="T25" s="33">
        <f t="shared" si="10"/>
        <v>5220000</v>
      </c>
      <c r="U25" s="33">
        <v>870000</v>
      </c>
      <c r="V25" s="32">
        <v>2</v>
      </c>
      <c r="W25" s="33">
        <f t="shared" si="11"/>
        <v>1740000</v>
      </c>
      <c r="AC25" s="28">
        <v>748297644.46428597</v>
      </c>
      <c r="AD25" s="28">
        <v>890786580</v>
      </c>
      <c r="AE25" s="28">
        <v>273108206.66666698</v>
      </c>
    </row>
    <row r="26" spans="2:34">
      <c r="B26" s="32" t="s">
        <v>238</v>
      </c>
      <c r="C26" s="33">
        <v>550000</v>
      </c>
      <c r="D26" s="32">
        <v>0</v>
      </c>
      <c r="E26" s="33">
        <f t="shared" si="6"/>
        <v>0</v>
      </c>
      <c r="F26" s="33">
        <v>550000</v>
      </c>
      <c r="G26" s="32">
        <v>0</v>
      </c>
      <c r="H26" s="33">
        <f t="shared" si="7"/>
        <v>0</v>
      </c>
      <c r="I26" s="33">
        <v>550000</v>
      </c>
      <c r="J26" s="32">
        <v>0</v>
      </c>
      <c r="K26" s="33">
        <f t="shared" si="8"/>
        <v>0</v>
      </c>
      <c r="N26" s="32" t="s">
        <v>238</v>
      </c>
      <c r="O26" s="33">
        <v>435000</v>
      </c>
      <c r="P26" s="32">
        <v>0</v>
      </c>
      <c r="Q26" s="33">
        <f t="shared" si="9"/>
        <v>0</v>
      </c>
      <c r="R26" s="33">
        <v>435000</v>
      </c>
      <c r="S26" s="32">
        <v>0</v>
      </c>
      <c r="T26" s="33">
        <f t="shared" si="10"/>
        <v>0</v>
      </c>
      <c r="U26" s="33">
        <v>435000</v>
      </c>
      <c r="V26" s="32">
        <v>0</v>
      </c>
      <c r="W26" s="33">
        <f t="shared" si="11"/>
        <v>0</v>
      </c>
      <c r="AC26" s="81">
        <f t="shared" ref="AC26:AE26" si="12">AC24-AC25</f>
        <v>920000</v>
      </c>
      <c r="AD26" s="56">
        <f t="shared" si="12"/>
        <v>1380000</v>
      </c>
      <c r="AE26" s="56">
        <f t="shared" si="12"/>
        <v>460000</v>
      </c>
    </row>
    <row r="27" spans="2:34">
      <c r="B27" s="32" t="s">
        <v>239</v>
      </c>
      <c r="C27" s="33">
        <v>420000</v>
      </c>
      <c r="D27" s="32">
        <v>0</v>
      </c>
      <c r="E27" s="33">
        <f t="shared" si="6"/>
        <v>0</v>
      </c>
      <c r="F27" s="33">
        <v>420000</v>
      </c>
      <c r="G27" s="32">
        <v>0</v>
      </c>
      <c r="H27" s="33">
        <f t="shared" si="7"/>
        <v>0</v>
      </c>
      <c r="I27" s="33">
        <v>420000</v>
      </c>
      <c r="J27" s="32">
        <v>0</v>
      </c>
      <c r="K27" s="33">
        <f t="shared" si="8"/>
        <v>0</v>
      </c>
      <c r="N27" s="32" t="s">
        <v>239</v>
      </c>
      <c r="O27" s="33">
        <v>420000</v>
      </c>
      <c r="P27" s="32">
        <v>0</v>
      </c>
      <c r="Q27" s="33">
        <f t="shared" si="9"/>
        <v>0</v>
      </c>
      <c r="R27" s="33">
        <v>420000</v>
      </c>
      <c r="S27" s="32">
        <v>0</v>
      </c>
      <c r="T27" s="33">
        <f t="shared" si="10"/>
        <v>0</v>
      </c>
      <c r="U27" s="33">
        <v>420000</v>
      </c>
      <c r="V27" s="32">
        <v>0</v>
      </c>
      <c r="W27" s="33">
        <f t="shared" si="11"/>
        <v>0</v>
      </c>
      <c r="AC27" s="81"/>
    </row>
    <row r="28" spans="2:34">
      <c r="B28" s="32" t="s">
        <v>240</v>
      </c>
      <c r="C28" s="33">
        <v>450000</v>
      </c>
      <c r="D28" s="32">
        <v>0</v>
      </c>
      <c r="E28" s="33">
        <f t="shared" si="6"/>
        <v>0</v>
      </c>
      <c r="F28" s="33">
        <v>450000</v>
      </c>
      <c r="G28" s="32">
        <v>0</v>
      </c>
      <c r="H28" s="33">
        <f t="shared" si="7"/>
        <v>0</v>
      </c>
      <c r="I28" s="33">
        <v>450000</v>
      </c>
      <c r="J28" s="32">
        <v>0</v>
      </c>
      <c r="K28" s="33">
        <f t="shared" si="8"/>
        <v>0</v>
      </c>
      <c r="N28" s="32" t="s">
        <v>240</v>
      </c>
      <c r="O28" s="33">
        <v>450000</v>
      </c>
      <c r="P28" s="32">
        <v>0</v>
      </c>
      <c r="Q28" s="33">
        <f t="shared" si="9"/>
        <v>0</v>
      </c>
      <c r="R28" s="33">
        <v>450000</v>
      </c>
      <c r="S28" s="32">
        <v>0</v>
      </c>
      <c r="T28" s="33">
        <f t="shared" si="10"/>
        <v>0</v>
      </c>
      <c r="U28" s="33">
        <v>450000</v>
      </c>
      <c r="V28" s="32">
        <v>0</v>
      </c>
      <c r="W28" s="33">
        <f t="shared" si="11"/>
        <v>0</v>
      </c>
      <c r="AC28" s="81">
        <v>660000</v>
      </c>
    </row>
    <row r="29" spans="2:34">
      <c r="B29" s="32" t="s">
        <v>183</v>
      </c>
      <c r="C29" s="33">
        <v>5700</v>
      </c>
      <c r="D29" s="32">
        <v>0</v>
      </c>
      <c r="E29" s="33">
        <f t="shared" si="6"/>
        <v>0</v>
      </c>
      <c r="F29" s="33">
        <v>5700</v>
      </c>
      <c r="G29" s="32">
        <v>0</v>
      </c>
      <c r="H29" s="33">
        <f t="shared" si="7"/>
        <v>0</v>
      </c>
      <c r="I29" s="33">
        <v>5700</v>
      </c>
      <c r="J29" s="32">
        <v>0</v>
      </c>
      <c r="K29" s="33">
        <f t="shared" si="8"/>
        <v>0</v>
      </c>
      <c r="N29" s="32" t="s">
        <v>183</v>
      </c>
      <c r="O29" s="33"/>
      <c r="P29" s="32">
        <v>0</v>
      </c>
      <c r="Q29" s="33">
        <f t="shared" si="9"/>
        <v>0</v>
      </c>
      <c r="R29" s="33"/>
      <c r="S29" s="32">
        <v>0</v>
      </c>
      <c r="T29" s="33">
        <f t="shared" si="10"/>
        <v>0</v>
      </c>
      <c r="U29" s="33"/>
      <c r="V29" s="32">
        <v>0</v>
      </c>
      <c r="W29" s="33">
        <f t="shared" si="11"/>
        <v>0</v>
      </c>
      <c r="AC29" s="81">
        <f>AC26-AC28</f>
        <v>260000</v>
      </c>
    </row>
    <row r="30" spans="2:34" s="2" customFormat="1">
      <c r="B30" s="35"/>
      <c r="C30" s="35"/>
      <c r="D30" s="31" t="s">
        <v>48</v>
      </c>
      <c r="E30" s="36">
        <f>SUM(E21:E29)</f>
        <v>749217644.46428573</v>
      </c>
      <c r="F30" s="35"/>
      <c r="G30" s="31" t="s">
        <v>48</v>
      </c>
      <c r="H30" s="36">
        <f>SUM(H21:H29)</f>
        <v>892166580</v>
      </c>
      <c r="I30" s="35"/>
      <c r="J30" s="31" t="s">
        <v>48</v>
      </c>
      <c r="K30" s="36">
        <f>SUM(K21:K29)</f>
        <v>273568206.66666669</v>
      </c>
      <c r="N30" s="35"/>
      <c r="O30" s="35"/>
      <c r="P30" s="31" t="s">
        <v>48</v>
      </c>
      <c r="Q30" s="36">
        <f>SUM(Q21:Q29)</f>
        <v>748297644.46428573</v>
      </c>
      <c r="R30" s="35"/>
      <c r="S30" s="31" t="s">
        <v>48</v>
      </c>
      <c r="T30" s="36">
        <f>SUM(T21:T29)</f>
        <v>890786580</v>
      </c>
      <c r="U30" s="35"/>
      <c r="V30" s="31" t="s">
        <v>48</v>
      </c>
      <c r="W30" s="36">
        <f>SUM(W21:W29)</f>
        <v>273108206.66666669</v>
      </c>
      <c r="Y30" s="65">
        <f>+Q30+T30+W30+E118+H133+K133</f>
        <v>2092331431.1309526</v>
      </c>
      <c r="AC30" s="65">
        <f>AC29/23000</f>
        <v>11.304347826086957</v>
      </c>
    </row>
    <row r="31" spans="2:34" s="2" customFormat="1">
      <c r="B31" s="41"/>
      <c r="C31" s="41"/>
      <c r="D31" s="42"/>
      <c r="E31" s="43">
        <f>E30/E32</f>
        <v>41623202.470238097</v>
      </c>
      <c r="F31" s="62"/>
      <c r="G31" s="42"/>
      <c r="H31" s="43">
        <f>H30/H32</f>
        <v>46956135.789473683</v>
      </c>
      <c r="I31" s="62"/>
      <c r="J31" s="42"/>
      <c r="K31" s="43">
        <f>K30/K32</f>
        <v>45594701.111111112</v>
      </c>
      <c r="L31" s="65"/>
      <c r="N31" s="41"/>
      <c r="O31" s="41"/>
      <c r="P31" s="42"/>
      <c r="Q31" s="43">
        <f>Q30/Q32</f>
        <v>41572091.359126985</v>
      </c>
      <c r="R31" s="62">
        <f>Q30-Q15</f>
        <v>269551691</v>
      </c>
      <c r="S31" s="42"/>
      <c r="T31" s="43">
        <f>T30/T32</f>
        <v>46883504.210526317</v>
      </c>
      <c r="U31" s="62">
        <f>T30-T15</f>
        <v>476315484</v>
      </c>
      <c r="V31" s="42"/>
      <c r="W31" s="43">
        <f>W30/W32</f>
        <v>45518034.444444448</v>
      </c>
      <c r="Y31" s="2">
        <f>+Y30/23000</f>
        <v>90970.931788302289</v>
      </c>
    </row>
    <row r="32" spans="2:34" s="2" customFormat="1">
      <c r="B32" s="41"/>
      <c r="C32" s="41"/>
      <c r="D32" s="42"/>
      <c r="E32" s="43">
        <v>18</v>
      </c>
      <c r="F32" s="62"/>
      <c r="G32" s="42"/>
      <c r="H32" s="43">
        <v>19</v>
      </c>
      <c r="I32" s="62"/>
      <c r="J32" s="42"/>
      <c r="K32" s="43">
        <v>6</v>
      </c>
      <c r="L32" s="65"/>
      <c r="N32" s="41">
        <v>85.8</v>
      </c>
      <c r="O32" s="41">
        <v>21.266666666666701</v>
      </c>
      <c r="P32" s="42"/>
      <c r="Q32" s="43">
        <v>18</v>
      </c>
      <c r="R32" s="41"/>
      <c r="S32" s="42"/>
      <c r="T32" s="52">
        <v>19</v>
      </c>
      <c r="U32" s="41"/>
      <c r="V32" s="42"/>
      <c r="W32" s="43">
        <v>6</v>
      </c>
    </row>
    <row r="33" spans="2:37" s="2" customFormat="1">
      <c r="B33" s="41"/>
      <c r="C33" s="29" t="s">
        <v>277</v>
      </c>
      <c r="D33" s="29"/>
      <c r="E33" s="29"/>
      <c r="F33" s="29" t="s">
        <v>278</v>
      </c>
      <c r="G33" s="29"/>
      <c r="H33" s="29"/>
      <c r="I33" s="29" t="s">
        <v>279</v>
      </c>
      <c r="J33" s="29"/>
      <c r="K33" s="29"/>
      <c r="N33" s="41"/>
      <c r="O33" s="41"/>
      <c r="P33" s="42"/>
      <c r="Q33" s="43"/>
      <c r="R33" s="41"/>
      <c r="S33" s="42"/>
      <c r="T33" s="52"/>
      <c r="U33" s="41"/>
      <c r="V33" s="42"/>
      <c r="W33" s="43"/>
    </row>
    <row r="34" spans="2:37">
      <c r="B34" s="375" t="s">
        <v>303</v>
      </c>
      <c r="C34" s="330" t="s">
        <v>10</v>
      </c>
      <c r="D34" s="331"/>
      <c r="E34" s="332"/>
      <c r="F34" s="330" t="s">
        <v>15</v>
      </c>
      <c r="G34" s="331"/>
      <c r="H34" s="332"/>
      <c r="I34" s="330" t="s">
        <v>17</v>
      </c>
      <c r="J34" s="331"/>
      <c r="K34" s="332"/>
      <c r="N34" s="375" t="s">
        <v>304</v>
      </c>
      <c r="O34" s="330" t="s">
        <v>10</v>
      </c>
      <c r="P34" s="331"/>
      <c r="Q34" s="332"/>
      <c r="R34" s="330" t="s">
        <v>15</v>
      </c>
      <c r="S34" s="331"/>
      <c r="T34" s="332"/>
      <c r="U34" s="330" t="s">
        <v>17</v>
      </c>
      <c r="V34" s="331"/>
      <c r="W34" s="332"/>
      <c r="Z34" s="375" t="s">
        <v>305</v>
      </c>
      <c r="AA34" s="330" t="s">
        <v>10</v>
      </c>
      <c r="AB34" s="331"/>
      <c r="AC34" s="332"/>
      <c r="AD34" s="330" t="s">
        <v>15</v>
      </c>
      <c r="AE34" s="331"/>
      <c r="AF34" s="332"/>
      <c r="AG34" s="330" t="s">
        <v>17</v>
      </c>
      <c r="AH34" s="331"/>
      <c r="AI34" s="332"/>
    </row>
    <row r="35" spans="2:37">
      <c r="B35" s="376"/>
      <c r="C35" s="30" t="s">
        <v>180</v>
      </c>
      <c r="D35" s="31" t="s">
        <v>41</v>
      </c>
      <c r="E35" s="31" t="s">
        <v>44</v>
      </c>
      <c r="F35" s="30" t="s">
        <v>180</v>
      </c>
      <c r="G35" s="31" t="s">
        <v>41</v>
      </c>
      <c r="H35" s="31" t="s">
        <v>44</v>
      </c>
      <c r="I35" s="30" t="s">
        <v>180</v>
      </c>
      <c r="J35" s="31" t="s">
        <v>41</v>
      </c>
      <c r="K35" s="31" t="s">
        <v>44</v>
      </c>
      <c r="N35" s="376"/>
      <c r="O35" s="30" t="s">
        <v>180</v>
      </c>
      <c r="P35" s="31" t="s">
        <v>41</v>
      </c>
      <c r="Q35" s="31" t="s">
        <v>44</v>
      </c>
      <c r="R35" s="30" t="s">
        <v>180</v>
      </c>
      <c r="S35" s="31" t="s">
        <v>41</v>
      </c>
      <c r="T35" s="31" t="s">
        <v>44</v>
      </c>
      <c r="U35" s="30" t="s">
        <v>180</v>
      </c>
      <c r="V35" s="31" t="s">
        <v>41</v>
      </c>
      <c r="W35" s="31" t="s">
        <v>44</v>
      </c>
      <c r="Z35" s="376"/>
      <c r="AA35" s="30" t="s">
        <v>180</v>
      </c>
      <c r="AB35" s="31" t="s">
        <v>41</v>
      </c>
      <c r="AC35" s="31" t="s">
        <v>44</v>
      </c>
      <c r="AD35" s="30" t="s">
        <v>180</v>
      </c>
      <c r="AE35" s="31" t="s">
        <v>41</v>
      </c>
      <c r="AF35" s="31" t="s">
        <v>44</v>
      </c>
      <c r="AG35" s="30" t="s">
        <v>180</v>
      </c>
      <c r="AH35" s="31" t="s">
        <v>41</v>
      </c>
      <c r="AI35" s="31" t="s">
        <v>44</v>
      </c>
    </row>
    <row r="36" spans="2:37">
      <c r="B36" s="32" t="s">
        <v>233</v>
      </c>
      <c r="C36" s="33">
        <v>331840000</v>
      </c>
      <c r="D36" s="32">
        <v>1</v>
      </c>
      <c r="E36" s="33">
        <f>+C36*D36</f>
        <v>331840000</v>
      </c>
      <c r="F36" s="33">
        <v>251148000</v>
      </c>
      <c r="G36" s="32">
        <v>1</v>
      </c>
      <c r="H36" s="33">
        <f>+F36*G36</f>
        <v>251148000</v>
      </c>
      <c r="I36" s="33">
        <v>73128000</v>
      </c>
      <c r="J36" s="32">
        <v>1</v>
      </c>
      <c r="K36" s="33">
        <f>+I36*J36</f>
        <v>73128000</v>
      </c>
      <c r="N36" s="32" t="s">
        <v>233</v>
      </c>
      <c r="O36" s="33">
        <v>331840000</v>
      </c>
      <c r="P36" s="32">
        <v>1</v>
      </c>
      <c r="Q36" s="33">
        <f>+O36*P36</f>
        <v>331840000</v>
      </c>
      <c r="R36" s="33">
        <v>251148000</v>
      </c>
      <c r="S36" s="32">
        <v>1</v>
      </c>
      <c r="T36" s="33">
        <f>+R36*S36</f>
        <v>251148000</v>
      </c>
      <c r="U36" s="33">
        <v>73128000</v>
      </c>
      <c r="V36" s="32">
        <v>1</v>
      </c>
      <c r="W36" s="33">
        <f>+U36*V36</f>
        <v>73128000</v>
      </c>
      <c r="Z36" s="32" t="s">
        <v>233</v>
      </c>
      <c r="AA36" s="33"/>
      <c r="AB36" s="32"/>
      <c r="AC36" s="33">
        <f>+AA36*AB36</f>
        <v>0</v>
      </c>
      <c r="AD36" s="33">
        <v>432232000</v>
      </c>
      <c r="AE36" s="32">
        <v>1</v>
      </c>
      <c r="AF36" s="33">
        <f>+AD36*AE36</f>
        <v>432232000</v>
      </c>
      <c r="AG36" s="33">
        <v>103392000</v>
      </c>
      <c r="AH36" s="32">
        <v>1</v>
      </c>
      <c r="AI36" s="33">
        <f>+AG36*AH36</f>
        <v>103392000</v>
      </c>
    </row>
    <row r="37" spans="2:37">
      <c r="B37" s="32" t="s">
        <v>234</v>
      </c>
      <c r="C37" s="33">
        <v>87315840</v>
      </c>
      <c r="D37" s="32">
        <v>1</v>
      </c>
      <c r="E37" s="33">
        <f>+C37*D37</f>
        <v>87315840</v>
      </c>
      <c r="F37" s="33">
        <v>80209620</v>
      </c>
      <c r="G37" s="32">
        <v>1</v>
      </c>
      <c r="H37" s="33">
        <f>+F37*G37</f>
        <v>80209620</v>
      </c>
      <c r="I37" s="33">
        <v>20805120</v>
      </c>
      <c r="J37" s="32">
        <v>1</v>
      </c>
      <c r="K37" s="33">
        <f>+I37*J37</f>
        <v>20805120</v>
      </c>
      <c r="N37" s="32" t="s">
        <v>234</v>
      </c>
      <c r="O37" s="33">
        <v>87315840</v>
      </c>
      <c r="P37" s="32">
        <v>1</v>
      </c>
      <c r="Q37" s="33">
        <f>+O37*P37</f>
        <v>87315840</v>
      </c>
      <c r="R37" s="33">
        <v>80209620</v>
      </c>
      <c r="S37" s="32">
        <v>1</v>
      </c>
      <c r="T37" s="33">
        <f>+R37*S37</f>
        <v>80209620</v>
      </c>
      <c r="U37" s="33">
        <v>20805120</v>
      </c>
      <c r="V37" s="32">
        <v>1</v>
      </c>
      <c r="W37" s="33">
        <f>+U37*V37</f>
        <v>20805120</v>
      </c>
      <c r="Z37" s="32" t="s">
        <v>234</v>
      </c>
      <c r="AA37" s="33"/>
      <c r="AB37" s="32"/>
      <c r="AC37" s="33">
        <f>+AA37*AB37</f>
        <v>0</v>
      </c>
      <c r="AD37" s="33">
        <v>150194700</v>
      </c>
      <c r="AE37" s="32">
        <v>1</v>
      </c>
      <c r="AF37" s="33">
        <f>+AD37*AE37</f>
        <v>150194700</v>
      </c>
      <c r="AG37" s="33">
        <v>31385700</v>
      </c>
      <c r="AH37" s="32">
        <v>1</v>
      </c>
      <c r="AI37" s="33">
        <f>+AG37*AH37</f>
        <v>31385700</v>
      </c>
    </row>
    <row r="38" spans="2:37">
      <c r="B38" s="32" t="s">
        <v>235</v>
      </c>
      <c r="C38" s="33">
        <v>6600</v>
      </c>
      <c r="D38" s="32">
        <v>0</v>
      </c>
      <c r="E38" s="33">
        <f t="shared" ref="E38:E44" si="13">+C38*D38</f>
        <v>0</v>
      </c>
      <c r="F38" s="33">
        <v>6600</v>
      </c>
      <c r="G38" s="32">
        <v>0</v>
      </c>
      <c r="H38" s="33">
        <f t="shared" ref="H38:H44" si="14">+F38*G38</f>
        <v>0</v>
      </c>
      <c r="I38" s="33">
        <v>6600</v>
      </c>
      <c r="J38" s="32">
        <v>0</v>
      </c>
      <c r="K38" s="33">
        <f t="shared" ref="K38:K44" si="15">+I38*J38</f>
        <v>0</v>
      </c>
      <c r="N38" s="32" t="s">
        <v>235</v>
      </c>
      <c r="O38" s="33">
        <v>4300</v>
      </c>
      <c r="P38" s="32">
        <v>0</v>
      </c>
      <c r="Q38" s="33">
        <f t="shared" ref="Q38:Q44" si="16">+O38*P38</f>
        <v>0</v>
      </c>
      <c r="R38" s="33">
        <v>4300</v>
      </c>
      <c r="S38" s="32">
        <v>0</v>
      </c>
      <c r="T38" s="33">
        <f t="shared" ref="T38:T44" si="17">+R38*S38</f>
        <v>0</v>
      </c>
      <c r="U38" s="33">
        <v>4300</v>
      </c>
      <c r="V38" s="32">
        <v>0</v>
      </c>
      <c r="W38" s="33">
        <f t="shared" ref="W38:W44" si="18">+U38*V38</f>
        <v>0</v>
      </c>
      <c r="Z38" s="32" t="s">
        <v>235</v>
      </c>
      <c r="AA38" s="33"/>
      <c r="AB38" s="32"/>
      <c r="AC38" s="33">
        <f t="shared" ref="AC38:AC44" si="19">+AA38*AB38</f>
        <v>0</v>
      </c>
      <c r="AD38" s="33">
        <v>6600</v>
      </c>
      <c r="AE38" s="32">
        <v>0</v>
      </c>
      <c r="AF38" s="33">
        <f t="shared" ref="AF38:AF44" si="20">+AD38*AE38</f>
        <v>0</v>
      </c>
      <c r="AG38" s="33">
        <v>6600</v>
      </c>
      <c r="AH38" s="32">
        <v>0</v>
      </c>
      <c r="AI38" s="33">
        <f t="shared" ref="AI38:AI44" si="21">+AG38*AH38</f>
        <v>0</v>
      </c>
    </row>
    <row r="39" spans="2:37">
      <c r="B39" s="32" t="s">
        <v>236</v>
      </c>
      <c r="C39" s="33">
        <v>80300</v>
      </c>
      <c r="D39" s="61">
        <f>D24</f>
        <v>372.56543542074348</v>
      </c>
      <c r="E39" s="33">
        <f t="shared" si="13"/>
        <v>29917004.464285702</v>
      </c>
      <c r="F39" s="33">
        <v>80300</v>
      </c>
      <c r="G39" s="64">
        <f>G24</f>
        <v>647.20000000000005</v>
      </c>
      <c r="H39" s="33">
        <f t="shared" si="14"/>
        <v>51970160</v>
      </c>
      <c r="I39" s="33">
        <v>80300</v>
      </c>
      <c r="J39" s="64">
        <f>J24</f>
        <v>122.73333333333329</v>
      </c>
      <c r="K39" s="33">
        <f t="shared" si="15"/>
        <v>9855486.6666666642</v>
      </c>
      <c r="N39" s="32" t="s">
        <v>236</v>
      </c>
      <c r="O39" s="33">
        <v>80300</v>
      </c>
      <c r="P39" s="61">
        <v>372.56543542074297</v>
      </c>
      <c r="Q39" s="33">
        <f t="shared" si="16"/>
        <v>29917004.464285661</v>
      </c>
      <c r="R39" s="33">
        <v>80300</v>
      </c>
      <c r="S39" s="64">
        <v>647.20000000000005</v>
      </c>
      <c r="T39" s="33">
        <f t="shared" si="17"/>
        <v>51970160</v>
      </c>
      <c r="U39" s="33">
        <v>80300</v>
      </c>
      <c r="V39" s="32">
        <v>122.73333333333299</v>
      </c>
      <c r="W39" s="33">
        <f t="shared" si="18"/>
        <v>9855486.66666664</v>
      </c>
      <c r="Z39" s="32" t="s">
        <v>236</v>
      </c>
      <c r="AA39" s="33"/>
      <c r="AB39" s="32"/>
      <c r="AC39" s="33">
        <f t="shared" si="19"/>
        <v>0</v>
      </c>
      <c r="AD39" s="33">
        <v>80300</v>
      </c>
      <c r="AE39" s="64">
        <v>647.20000000000005</v>
      </c>
      <c r="AF39" s="33">
        <f t="shared" si="20"/>
        <v>51970160</v>
      </c>
      <c r="AG39" s="33">
        <v>80300</v>
      </c>
      <c r="AH39" s="32">
        <v>122.73333333333299</v>
      </c>
      <c r="AI39" s="33">
        <f t="shared" si="21"/>
        <v>9855486.66666664</v>
      </c>
    </row>
    <row r="40" spans="2:37">
      <c r="B40" s="32" t="s">
        <v>237</v>
      </c>
      <c r="C40" s="33">
        <v>1100000</v>
      </c>
      <c r="D40" s="32">
        <v>4</v>
      </c>
      <c r="E40" s="33">
        <f t="shared" si="13"/>
        <v>4400000</v>
      </c>
      <c r="F40" s="33">
        <v>1100000</v>
      </c>
      <c r="G40" s="32">
        <v>6</v>
      </c>
      <c r="H40" s="33">
        <f t="shared" si="14"/>
        <v>6600000</v>
      </c>
      <c r="I40" s="33">
        <v>1100000</v>
      </c>
      <c r="J40" s="32">
        <v>2</v>
      </c>
      <c r="K40" s="33">
        <f t="shared" si="15"/>
        <v>2200000</v>
      </c>
      <c r="N40" s="32" t="s">
        <v>237</v>
      </c>
      <c r="O40" s="33">
        <v>870000</v>
      </c>
      <c r="P40" s="32">
        <v>4</v>
      </c>
      <c r="Q40" s="33">
        <f t="shared" si="16"/>
        <v>3480000</v>
      </c>
      <c r="R40" s="33">
        <v>870000</v>
      </c>
      <c r="S40" s="32">
        <v>6</v>
      </c>
      <c r="T40" s="33">
        <f t="shared" si="17"/>
        <v>5220000</v>
      </c>
      <c r="U40" s="33">
        <v>870000</v>
      </c>
      <c r="V40" s="32">
        <v>2</v>
      </c>
      <c r="W40" s="33">
        <f t="shared" si="18"/>
        <v>1740000</v>
      </c>
      <c r="Z40" s="32" t="s">
        <v>237</v>
      </c>
      <c r="AA40" s="33"/>
      <c r="AB40" s="32"/>
      <c r="AC40" s="33">
        <f t="shared" si="19"/>
        <v>0</v>
      </c>
      <c r="AD40" s="33">
        <v>1100000</v>
      </c>
      <c r="AE40" s="32">
        <v>6</v>
      </c>
      <c r="AF40" s="33">
        <f t="shared" si="20"/>
        <v>6600000</v>
      </c>
      <c r="AG40" s="33">
        <v>1100000</v>
      </c>
      <c r="AH40" s="32">
        <v>2</v>
      </c>
      <c r="AI40" s="33">
        <f t="shared" si="21"/>
        <v>2200000</v>
      </c>
    </row>
    <row r="41" spans="2:37">
      <c r="B41" s="32" t="s">
        <v>238</v>
      </c>
      <c r="C41" s="33">
        <v>550000</v>
      </c>
      <c r="D41" s="32">
        <v>0</v>
      </c>
      <c r="E41" s="33">
        <f t="shared" si="13"/>
        <v>0</v>
      </c>
      <c r="F41" s="33">
        <v>550000</v>
      </c>
      <c r="G41" s="32">
        <v>0</v>
      </c>
      <c r="H41" s="33">
        <f t="shared" si="14"/>
        <v>0</v>
      </c>
      <c r="I41" s="33">
        <v>550000</v>
      </c>
      <c r="J41" s="32">
        <v>0</v>
      </c>
      <c r="K41" s="33">
        <f t="shared" si="15"/>
        <v>0</v>
      </c>
      <c r="N41" s="32" t="s">
        <v>238</v>
      </c>
      <c r="O41" s="33">
        <v>435000</v>
      </c>
      <c r="P41" s="32">
        <v>0</v>
      </c>
      <c r="Q41" s="33">
        <f t="shared" si="16"/>
        <v>0</v>
      </c>
      <c r="R41" s="33">
        <v>435000</v>
      </c>
      <c r="S41" s="32">
        <v>0</v>
      </c>
      <c r="T41" s="33">
        <f t="shared" si="17"/>
        <v>0</v>
      </c>
      <c r="U41" s="33">
        <v>435000</v>
      </c>
      <c r="V41" s="32">
        <v>0</v>
      </c>
      <c r="W41" s="33">
        <f t="shared" si="18"/>
        <v>0</v>
      </c>
      <c r="Z41" s="32" t="s">
        <v>238</v>
      </c>
      <c r="AA41" s="33"/>
      <c r="AB41" s="32"/>
      <c r="AC41" s="33">
        <f t="shared" si="19"/>
        <v>0</v>
      </c>
      <c r="AD41" s="33">
        <v>550000</v>
      </c>
      <c r="AE41" s="32">
        <v>0</v>
      </c>
      <c r="AF41" s="33">
        <f t="shared" si="20"/>
        <v>0</v>
      </c>
      <c r="AG41" s="33">
        <v>550000</v>
      </c>
      <c r="AH41" s="32">
        <v>0</v>
      </c>
      <c r="AI41" s="33">
        <f t="shared" si="21"/>
        <v>0</v>
      </c>
    </row>
    <row r="42" spans="2:37">
      <c r="B42" s="32" t="s">
        <v>239</v>
      </c>
      <c r="C42" s="33">
        <v>420000</v>
      </c>
      <c r="D42" s="32">
        <v>0</v>
      </c>
      <c r="E42" s="33">
        <f t="shared" si="13"/>
        <v>0</v>
      </c>
      <c r="F42" s="33">
        <v>420000</v>
      </c>
      <c r="G42" s="32">
        <v>0</v>
      </c>
      <c r="H42" s="33">
        <f t="shared" si="14"/>
        <v>0</v>
      </c>
      <c r="I42" s="33">
        <v>420000</v>
      </c>
      <c r="J42" s="32">
        <v>0</v>
      </c>
      <c r="K42" s="33">
        <f t="shared" si="15"/>
        <v>0</v>
      </c>
      <c r="N42" s="32" t="s">
        <v>239</v>
      </c>
      <c r="O42" s="33">
        <v>420000</v>
      </c>
      <c r="P42" s="32">
        <v>0</v>
      </c>
      <c r="Q42" s="33">
        <f t="shared" si="16"/>
        <v>0</v>
      </c>
      <c r="R42" s="33">
        <v>420000</v>
      </c>
      <c r="S42" s="32">
        <v>0</v>
      </c>
      <c r="T42" s="33">
        <f t="shared" si="17"/>
        <v>0</v>
      </c>
      <c r="U42" s="33">
        <v>420000</v>
      </c>
      <c r="V42" s="32">
        <v>0</v>
      </c>
      <c r="W42" s="33">
        <f t="shared" si="18"/>
        <v>0</v>
      </c>
      <c r="Z42" s="32" t="s">
        <v>239</v>
      </c>
      <c r="AA42" s="33"/>
      <c r="AB42" s="32"/>
      <c r="AC42" s="33">
        <f t="shared" si="19"/>
        <v>0</v>
      </c>
      <c r="AD42" s="33">
        <v>420000</v>
      </c>
      <c r="AE42" s="32">
        <v>0</v>
      </c>
      <c r="AF42" s="33">
        <f t="shared" si="20"/>
        <v>0</v>
      </c>
      <c r="AG42" s="33">
        <v>420000</v>
      </c>
      <c r="AH42" s="32">
        <v>0</v>
      </c>
      <c r="AI42" s="33">
        <f t="shared" si="21"/>
        <v>0</v>
      </c>
    </row>
    <row r="43" spans="2:37">
      <c r="B43" s="32" t="s">
        <v>240</v>
      </c>
      <c r="C43" s="33">
        <v>450000</v>
      </c>
      <c r="D43" s="32">
        <v>0</v>
      </c>
      <c r="E43" s="33">
        <f t="shared" si="13"/>
        <v>0</v>
      </c>
      <c r="F43" s="33">
        <v>450000</v>
      </c>
      <c r="G43" s="32">
        <v>0</v>
      </c>
      <c r="H43" s="33">
        <f t="shared" si="14"/>
        <v>0</v>
      </c>
      <c r="I43" s="33">
        <v>450000</v>
      </c>
      <c r="J43" s="32">
        <v>0</v>
      </c>
      <c r="K43" s="33">
        <f t="shared" si="15"/>
        <v>0</v>
      </c>
      <c r="N43" s="32" t="s">
        <v>240</v>
      </c>
      <c r="O43" s="33">
        <v>450000</v>
      </c>
      <c r="P43" s="32">
        <v>0</v>
      </c>
      <c r="Q43" s="33">
        <f t="shared" si="16"/>
        <v>0</v>
      </c>
      <c r="R43" s="33">
        <v>450000</v>
      </c>
      <c r="S43" s="32">
        <v>0</v>
      </c>
      <c r="T43" s="33">
        <f t="shared" si="17"/>
        <v>0</v>
      </c>
      <c r="U43" s="33">
        <v>450000</v>
      </c>
      <c r="V43" s="32">
        <v>0</v>
      </c>
      <c r="W43" s="33">
        <f t="shared" si="18"/>
        <v>0</v>
      </c>
      <c r="Z43" s="32" t="s">
        <v>240</v>
      </c>
      <c r="AA43" s="33"/>
      <c r="AB43" s="32"/>
      <c r="AC43" s="33">
        <f t="shared" si="19"/>
        <v>0</v>
      </c>
      <c r="AD43" s="33">
        <v>450000</v>
      </c>
      <c r="AE43" s="32">
        <v>0</v>
      </c>
      <c r="AF43" s="33">
        <f t="shared" si="20"/>
        <v>0</v>
      </c>
      <c r="AG43" s="33">
        <v>450000</v>
      </c>
      <c r="AH43" s="32">
        <v>0</v>
      </c>
      <c r="AI43" s="33">
        <f t="shared" si="21"/>
        <v>0</v>
      </c>
    </row>
    <row r="44" spans="2:37">
      <c r="B44" s="32" t="s">
        <v>183</v>
      </c>
      <c r="C44" s="33">
        <v>5700</v>
      </c>
      <c r="D44" s="32">
        <v>0</v>
      </c>
      <c r="E44" s="33">
        <f t="shared" si="13"/>
        <v>0</v>
      </c>
      <c r="F44" s="33">
        <v>5700</v>
      </c>
      <c r="G44" s="32">
        <v>0</v>
      </c>
      <c r="H44" s="33">
        <f t="shared" si="14"/>
        <v>0</v>
      </c>
      <c r="I44" s="33">
        <v>5700</v>
      </c>
      <c r="J44" s="32">
        <v>0</v>
      </c>
      <c r="K44" s="33">
        <f t="shared" si="15"/>
        <v>0</v>
      </c>
      <c r="N44" s="32" t="s">
        <v>241</v>
      </c>
      <c r="O44" s="33"/>
      <c r="P44" s="32">
        <v>0</v>
      </c>
      <c r="Q44" s="33">
        <f t="shared" si="16"/>
        <v>0</v>
      </c>
      <c r="R44" s="33"/>
      <c r="S44" s="32">
        <v>0</v>
      </c>
      <c r="T44" s="33">
        <f t="shared" si="17"/>
        <v>0</v>
      </c>
      <c r="U44" s="33"/>
      <c r="V44" s="32">
        <v>0</v>
      </c>
      <c r="W44" s="33">
        <f t="shared" si="18"/>
        <v>0</v>
      </c>
      <c r="Z44" s="32" t="s">
        <v>241</v>
      </c>
      <c r="AA44" s="33"/>
      <c r="AB44" s="32"/>
      <c r="AC44" s="33">
        <f t="shared" si="19"/>
        <v>0</v>
      </c>
      <c r="AD44" s="33">
        <v>5700</v>
      </c>
      <c r="AE44" s="32">
        <v>0</v>
      </c>
      <c r="AF44" s="33">
        <f t="shared" si="20"/>
        <v>0</v>
      </c>
      <c r="AG44" s="33">
        <v>5700</v>
      </c>
      <c r="AH44" s="32">
        <v>0</v>
      </c>
      <c r="AI44" s="33">
        <f t="shared" si="21"/>
        <v>0</v>
      </c>
    </row>
    <row r="45" spans="2:37" s="2" customFormat="1">
      <c r="B45" s="35"/>
      <c r="C45" s="35"/>
      <c r="D45" s="31" t="s">
        <v>48</v>
      </c>
      <c r="E45" s="36">
        <f>SUM(E36:E44)</f>
        <v>453472844.46428573</v>
      </c>
      <c r="F45" s="35"/>
      <c r="G45" s="31" t="s">
        <v>48</v>
      </c>
      <c r="H45" s="36">
        <f>SUM(H36:H44)</f>
        <v>389927780</v>
      </c>
      <c r="I45" s="35"/>
      <c r="J45" s="31" t="s">
        <v>48</v>
      </c>
      <c r="K45" s="36">
        <f>SUM(K36:K44)</f>
        <v>105988606.66666666</v>
      </c>
      <c r="N45" s="35"/>
      <c r="O45" s="35"/>
      <c r="P45" s="31" t="s">
        <v>48</v>
      </c>
      <c r="Q45" s="36">
        <f>SUM(Q36:Q44)</f>
        <v>452552844.46428567</v>
      </c>
      <c r="R45" s="35"/>
      <c r="S45" s="31" t="s">
        <v>48</v>
      </c>
      <c r="T45" s="51">
        <f>SUM(T36:T44)</f>
        <v>388547780</v>
      </c>
      <c r="U45" s="35"/>
      <c r="V45" s="31" t="s">
        <v>48</v>
      </c>
      <c r="W45" s="36">
        <f>SUM(W36:W44)</f>
        <v>105528606.66666664</v>
      </c>
      <c r="Z45" s="35"/>
      <c r="AA45" s="35"/>
      <c r="AB45" s="31" t="s">
        <v>48</v>
      </c>
      <c r="AC45" s="36">
        <f>SUM(AC36:AC44)</f>
        <v>0</v>
      </c>
      <c r="AD45" s="35"/>
      <c r="AE45" s="31" t="s">
        <v>48</v>
      </c>
      <c r="AF45" s="51">
        <f>SUM(AF36:AF44)</f>
        <v>640996860</v>
      </c>
      <c r="AG45" s="35"/>
      <c r="AH45" s="31" t="s">
        <v>48</v>
      </c>
      <c r="AI45" s="36">
        <f>SUM(AI36:AI44)</f>
        <v>146833186.66666663</v>
      </c>
    </row>
    <row r="46" spans="2:37" s="2" customFormat="1">
      <c r="B46" s="41"/>
      <c r="C46" s="41"/>
      <c r="D46" s="42"/>
      <c r="E46" s="43">
        <f>E45/E47</f>
        <v>45347284.446428575</v>
      </c>
      <c r="F46" s="41"/>
      <c r="G46" s="42"/>
      <c r="H46" s="43">
        <f>H45/H47</f>
        <v>55703968.571428575</v>
      </c>
      <c r="I46" s="41"/>
      <c r="J46" s="42"/>
      <c r="K46" s="43">
        <f>K45/K47</f>
        <v>52994303.333333328</v>
      </c>
      <c r="O46" s="41"/>
      <c r="P46" s="42"/>
      <c r="Q46" s="43">
        <v>10</v>
      </c>
      <c r="R46" s="41"/>
      <c r="S46" s="42"/>
      <c r="T46" s="43">
        <v>7</v>
      </c>
      <c r="U46" s="41"/>
      <c r="V46" s="42"/>
      <c r="W46" s="43">
        <v>2</v>
      </c>
      <c r="AA46" s="41"/>
      <c r="AB46" s="42"/>
      <c r="AC46" s="43"/>
      <c r="AD46" s="41"/>
      <c r="AE46" s="42"/>
      <c r="AF46" s="43"/>
      <c r="AG46" s="41"/>
      <c r="AH46" s="42"/>
      <c r="AI46" s="43">
        <f>AI45/AI47</f>
        <v>48944395.555555545</v>
      </c>
    </row>
    <row r="47" spans="2:37" s="2" customFormat="1">
      <c r="B47" s="41" t="s">
        <v>227</v>
      </c>
      <c r="C47" s="41"/>
      <c r="D47" s="42"/>
      <c r="E47" s="43">
        <v>10</v>
      </c>
      <c r="F47" s="41"/>
      <c r="G47" s="42"/>
      <c r="H47" s="43">
        <v>7</v>
      </c>
      <c r="I47" s="41"/>
      <c r="J47" s="42"/>
      <c r="K47" s="43">
        <v>2</v>
      </c>
      <c r="N47" s="2" t="s">
        <v>230</v>
      </c>
      <c r="O47" s="41"/>
      <c r="P47" s="42"/>
      <c r="Q47" s="43"/>
      <c r="R47" s="41"/>
      <c r="S47" s="42"/>
      <c r="T47" s="43"/>
      <c r="U47" s="41"/>
      <c r="V47" s="42"/>
      <c r="W47" s="43"/>
      <c r="Z47" s="2" t="s">
        <v>230</v>
      </c>
      <c r="AA47" s="41"/>
      <c r="AB47" s="42"/>
      <c r="AC47" s="43"/>
      <c r="AD47" s="41"/>
      <c r="AE47" s="42"/>
      <c r="AF47" s="43">
        <v>13</v>
      </c>
      <c r="AG47" s="41"/>
      <c r="AH47" s="42"/>
      <c r="AI47" s="43">
        <v>3</v>
      </c>
    </row>
    <row r="48" spans="2:37" ht="15" customHeight="1">
      <c r="B48" s="379" t="s">
        <v>306</v>
      </c>
      <c r="C48" s="330" t="s">
        <v>10</v>
      </c>
      <c r="D48" s="331"/>
      <c r="E48" s="332"/>
      <c r="F48" s="330" t="s">
        <v>15</v>
      </c>
      <c r="G48" s="331"/>
      <c r="H48" s="332"/>
      <c r="I48" s="330" t="s">
        <v>17</v>
      </c>
      <c r="J48" s="331"/>
      <c r="K48" s="332"/>
      <c r="N48" s="375" t="s">
        <v>306</v>
      </c>
      <c r="O48" s="330" t="s">
        <v>10</v>
      </c>
      <c r="P48" s="331"/>
      <c r="Q48" s="332"/>
      <c r="R48" s="330" t="s">
        <v>15</v>
      </c>
      <c r="S48" s="331"/>
      <c r="T48" s="332"/>
      <c r="U48" s="330" t="s">
        <v>17</v>
      </c>
      <c r="V48" s="331"/>
      <c r="W48" s="332"/>
      <c r="AC48" s="330" t="s">
        <v>10</v>
      </c>
      <c r="AD48" s="331"/>
      <c r="AE48" s="332"/>
      <c r="AF48" s="330" t="s">
        <v>15</v>
      </c>
      <c r="AG48" s="331"/>
      <c r="AH48" s="332"/>
      <c r="AI48" s="330" t="s">
        <v>17</v>
      </c>
      <c r="AJ48" s="331"/>
      <c r="AK48" s="332"/>
    </row>
    <row r="49" spans="2:37">
      <c r="B49" s="380"/>
      <c r="C49" s="30" t="s">
        <v>180</v>
      </c>
      <c r="D49" s="31" t="s">
        <v>41</v>
      </c>
      <c r="E49" s="31" t="s">
        <v>44</v>
      </c>
      <c r="F49" s="30" t="s">
        <v>180</v>
      </c>
      <c r="G49" s="31" t="s">
        <v>41</v>
      </c>
      <c r="H49" s="31" t="s">
        <v>44</v>
      </c>
      <c r="I49" s="30" t="s">
        <v>180</v>
      </c>
      <c r="J49" s="31" t="s">
        <v>41</v>
      </c>
      <c r="K49" s="31" t="s">
        <v>44</v>
      </c>
      <c r="N49" s="376"/>
      <c r="O49" s="30" t="s">
        <v>180</v>
      </c>
      <c r="P49" s="31" t="s">
        <v>41</v>
      </c>
      <c r="Q49" s="31" t="s">
        <v>44</v>
      </c>
      <c r="R49" s="30" t="s">
        <v>180</v>
      </c>
      <c r="S49" s="31" t="s">
        <v>41</v>
      </c>
      <c r="T49" s="31" t="s">
        <v>44</v>
      </c>
      <c r="U49" s="30" t="s">
        <v>180</v>
      </c>
      <c r="V49" s="31" t="s">
        <v>41</v>
      </c>
      <c r="W49" s="31" t="s">
        <v>44</v>
      </c>
      <c r="AC49" s="30" t="s">
        <v>180</v>
      </c>
      <c r="AD49" s="31" t="s">
        <v>41</v>
      </c>
      <c r="AE49" s="31" t="s">
        <v>44</v>
      </c>
      <c r="AF49" s="30" t="s">
        <v>180</v>
      </c>
      <c r="AG49" s="31" t="s">
        <v>41</v>
      </c>
      <c r="AH49" s="31" t="s">
        <v>44</v>
      </c>
      <c r="AI49" s="30" t="s">
        <v>180</v>
      </c>
      <c r="AJ49" s="31" t="s">
        <v>41</v>
      </c>
      <c r="AK49" s="31" t="s">
        <v>44</v>
      </c>
    </row>
    <row r="50" spans="2:37">
      <c r="B50" s="32" t="s">
        <v>233</v>
      </c>
      <c r="C50" s="33">
        <v>45565000</v>
      </c>
      <c r="D50" s="32">
        <v>8</v>
      </c>
      <c r="E50" s="33">
        <f>+C50*D50</f>
        <v>364520000</v>
      </c>
      <c r="F50" s="33">
        <v>45945000</v>
      </c>
      <c r="G50" s="32">
        <v>12</v>
      </c>
      <c r="H50" s="33">
        <f>+F50*G50</f>
        <v>551340000</v>
      </c>
      <c r="I50" s="33">
        <v>45945000</v>
      </c>
      <c r="J50" s="32">
        <v>4</v>
      </c>
      <c r="K50" s="33">
        <f>+I50*J50</f>
        <v>183780000</v>
      </c>
      <c r="N50" s="32" t="s">
        <v>233</v>
      </c>
      <c r="O50" s="33">
        <v>45565000</v>
      </c>
      <c r="P50" s="32">
        <v>8</v>
      </c>
      <c r="Q50" s="33">
        <f>+O50*P50</f>
        <v>364520000</v>
      </c>
      <c r="R50" s="33">
        <v>45945000</v>
      </c>
      <c r="S50" s="32">
        <v>12</v>
      </c>
      <c r="T50" s="33">
        <f>+R50*S50</f>
        <v>551340000</v>
      </c>
      <c r="U50" s="33">
        <v>45945000</v>
      </c>
      <c r="V50" s="32">
        <v>4</v>
      </c>
      <c r="W50" s="33">
        <f>+U50*V50</f>
        <v>183780000</v>
      </c>
      <c r="AC50" s="33"/>
      <c r="AD50" s="32"/>
      <c r="AE50" s="33">
        <f t="shared" ref="AE50:AE58" si="22">+AC50*AD50</f>
        <v>0</v>
      </c>
      <c r="AF50" s="33">
        <v>372704000</v>
      </c>
      <c r="AG50" s="32">
        <v>1</v>
      </c>
      <c r="AH50" s="33">
        <f t="shared" ref="AH50:AH58" si="23">+AF50*AG50</f>
        <v>372704000</v>
      </c>
      <c r="AI50" s="33">
        <v>133656000</v>
      </c>
      <c r="AJ50" s="32">
        <v>1</v>
      </c>
      <c r="AK50" s="33">
        <f t="shared" ref="AK50:AK58" si="24">+AI50*AJ50</f>
        <v>133656000</v>
      </c>
    </row>
    <row r="51" spans="2:37">
      <c r="B51" s="32" t="s">
        <v>234</v>
      </c>
      <c r="C51" s="33">
        <v>7258000</v>
      </c>
      <c r="D51" s="32">
        <v>8</v>
      </c>
      <c r="E51" s="33">
        <f>+C51*D51</f>
        <v>58064000</v>
      </c>
      <c r="F51" s="33">
        <v>9752000</v>
      </c>
      <c r="G51" s="32">
        <v>12</v>
      </c>
      <c r="H51" s="33">
        <f>+F51*G51</f>
        <v>117024000</v>
      </c>
      <c r="I51" s="33">
        <v>9752000</v>
      </c>
      <c r="J51" s="32">
        <v>4</v>
      </c>
      <c r="K51" s="33">
        <f>+I51*J51</f>
        <v>39008000</v>
      </c>
      <c r="N51" s="32" t="s">
        <v>234</v>
      </c>
      <c r="O51" s="33">
        <v>7258000</v>
      </c>
      <c r="P51" s="32">
        <v>8</v>
      </c>
      <c r="Q51" s="33">
        <f>+O51*P51</f>
        <v>58064000</v>
      </c>
      <c r="R51" s="33">
        <v>9752000</v>
      </c>
      <c r="S51" s="32">
        <v>12</v>
      </c>
      <c r="T51" s="33">
        <f>+R51*S51</f>
        <v>117024000</v>
      </c>
      <c r="U51" s="33">
        <v>9752000</v>
      </c>
      <c r="V51" s="32">
        <v>4</v>
      </c>
      <c r="W51" s="33">
        <f>+U51*V51</f>
        <v>39008000</v>
      </c>
      <c r="AC51" s="33"/>
      <c r="AD51" s="32"/>
      <c r="AE51" s="33">
        <f t="shared" si="22"/>
        <v>0</v>
      </c>
      <c r="AF51" s="33">
        <v>127733220</v>
      </c>
      <c r="AG51" s="32">
        <v>1</v>
      </c>
      <c r="AH51" s="33">
        <f t="shared" si="23"/>
        <v>127733220</v>
      </c>
      <c r="AI51" s="33">
        <v>44566920</v>
      </c>
      <c r="AJ51" s="32">
        <v>1</v>
      </c>
      <c r="AK51" s="33">
        <f t="shared" si="24"/>
        <v>44566920</v>
      </c>
    </row>
    <row r="52" spans="2:37">
      <c r="B52" s="32" t="s">
        <v>235</v>
      </c>
      <c r="C52" s="33">
        <v>6600</v>
      </c>
      <c r="D52" s="32">
        <v>0</v>
      </c>
      <c r="E52" s="33">
        <f t="shared" ref="E52:E58" si="25">+C52*D52</f>
        <v>0</v>
      </c>
      <c r="F52" s="33">
        <v>6600</v>
      </c>
      <c r="G52" s="32">
        <v>0</v>
      </c>
      <c r="H52" s="33">
        <f t="shared" ref="H52:H58" si="26">+F52*G52</f>
        <v>0</v>
      </c>
      <c r="I52" s="33">
        <v>6600</v>
      </c>
      <c r="J52" s="32">
        <v>0</v>
      </c>
      <c r="K52" s="33">
        <f t="shared" ref="K52:K58" si="27">+I52*J52</f>
        <v>0</v>
      </c>
      <c r="N52" s="32" t="s">
        <v>235</v>
      </c>
      <c r="O52" s="33">
        <v>4300</v>
      </c>
      <c r="P52" s="32">
        <v>0</v>
      </c>
      <c r="Q52" s="33">
        <f t="shared" ref="Q52:Q58" si="28">+O52*P52</f>
        <v>0</v>
      </c>
      <c r="R52" s="33">
        <v>4300</v>
      </c>
      <c r="S52" s="32">
        <v>0</v>
      </c>
      <c r="T52" s="33">
        <f t="shared" ref="T52:T58" si="29">+R52*S52</f>
        <v>0</v>
      </c>
      <c r="U52" s="33">
        <v>4300</v>
      </c>
      <c r="V52" s="32">
        <v>0</v>
      </c>
      <c r="W52" s="33">
        <f t="shared" ref="W52:W58" si="30">+U52*V52</f>
        <v>0</v>
      </c>
      <c r="AC52" s="33"/>
      <c r="AD52" s="32"/>
      <c r="AE52" s="33">
        <f t="shared" si="22"/>
        <v>0</v>
      </c>
      <c r="AF52" s="33">
        <v>4300</v>
      </c>
      <c r="AG52" s="32">
        <v>0</v>
      </c>
      <c r="AH52" s="33">
        <f t="shared" si="23"/>
        <v>0</v>
      </c>
      <c r="AI52" s="33">
        <v>4300</v>
      </c>
      <c r="AJ52" s="32">
        <v>0</v>
      </c>
      <c r="AK52" s="33">
        <f t="shared" si="24"/>
        <v>0</v>
      </c>
    </row>
    <row r="53" spans="2:37">
      <c r="B53" s="32" t="s">
        <v>236</v>
      </c>
      <c r="C53" s="33">
        <v>80300</v>
      </c>
      <c r="D53" s="61">
        <f>D38</f>
        <v>0</v>
      </c>
      <c r="E53" s="33">
        <f t="shared" si="25"/>
        <v>0</v>
      </c>
      <c r="F53" s="33">
        <v>80300</v>
      </c>
      <c r="G53" s="61">
        <f>G38</f>
        <v>0</v>
      </c>
      <c r="H53" s="33">
        <f t="shared" si="26"/>
        <v>0</v>
      </c>
      <c r="I53" s="33">
        <v>80300</v>
      </c>
      <c r="J53" s="61">
        <f>J38</f>
        <v>0</v>
      </c>
      <c r="K53" s="33">
        <f t="shared" si="27"/>
        <v>0</v>
      </c>
      <c r="N53" s="32" t="s">
        <v>236</v>
      </c>
      <c r="O53" s="33">
        <v>80300</v>
      </c>
      <c r="P53" s="61">
        <f>P38</f>
        <v>0</v>
      </c>
      <c r="Q53" s="33">
        <f t="shared" si="28"/>
        <v>0</v>
      </c>
      <c r="R53" s="33">
        <v>80300</v>
      </c>
      <c r="S53" s="61">
        <f>S38</f>
        <v>0</v>
      </c>
      <c r="T53" s="33">
        <f t="shared" si="29"/>
        <v>0</v>
      </c>
      <c r="U53" s="33">
        <v>80300</v>
      </c>
      <c r="V53" s="61">
        <f>V38</f>
        <v>0</v>
      </c>
      <c r="W53" s="33">
        <f t="shared" si="30"/>
        <v>0</v>
      </c>
      <c r="AC53" s="33"/>
      <c r="AD53" s="32"/>
      <c r="AE53" s="33">
        <f t="shared" si="22"/>
        <v>0</v>
      </c>
      <c r="AF53" s="33">
        <v>80300</v>
      </c>
      <c r="AG53" s="64">
        <v>647.20000000000005</v>
      </c>
      <c r="AH53" s="33">
        <f t="shared" si="23"/>
        <v>51970160</v>
      </c>
      <c r="AI53" s="33">
        <v>80300</v>
      </c>
      <c r="AJ53" s="32">
        <v>122.73333333333299</v>
      </c>
      <c r="AK53" s="33">
        <f t="shared" si="24"/>
        <v>9855486.66666664</v>
      </c>
    </row>
    <row r="54" spans="2:37">
      <c r="B54" s="32" t="s">
        <v>237</v>
      </c>
      <c r="C54" s="33">
        <v>1100000</v>
      </c>
      <c r="D54" s="32">
        <v>0</v>
      </c>
      <c r="E54" s="33">
        <f t="shared" si="25"/>
        <v>0</v>
      </c>
      <c r="F54" s="33">
        <v>1100000</v>
      </c>
      <c r="G54" s="32">
        <v>0</v>
      </c>
      <c r="H54" s="33">
        <f t="shared" si="26"/>
        <v>0</v>
      </c>
      <c r="I54" s="33">
        <v>1100000</v>
      </c>
      <c r="J54" s="32">
        <v>0</v>
      </c>
      <c r="K54" s="33">
        <f t="shared" si="27"/>
        <v>0</v>
      </c>
      <c r="N54" s="32" t="s">
        <v>237</v>
      </c>
      <c r="O54" s="33">
        <v>870000</v>
      </c>
      <c r="P54" s="32">
        <v>0</v>
      </c>
      <c r="Q54" s="33">
        <f t="shared" si="28"/>
        <v>0</v>
      </c>
      <c r="R54" s="33">
        <v>870000</v>
      </c>
      <c r="S54" s="32">
        <v>0</v>
      </c>
      <c r="T54" s="33">
        <f t="shared" si="29"/>
        <v>0</v>
      </c>
      <c r="U54" s="33">
        <v>870000</v>
      </c>
      <c r="V54" s="32">
        <v>0</v>
      </c>
      <c r="W54" s="33">
        <f t="shared" si="30"/>
        <v>0</v>
      </c>
      <c r="AC54" s="33"/>
      <c r="AD54" s="32"/>
      <c r="AE54" s="33">
        <f t="shared" si="22"/>
        <v>0</v>
      </c>
      <c r="AF54" s="33">
        <v>870000</v>
      </c>
      <c r="AG54" s="32">
        <v>6</v>
      </c>
      <c r="AH54" s="33">
        <f t="shared" si="23"/>
        <v>5220000</v>
      </c>
      <c r="AI54" s="33">
        <v>870000</v>
      </c>
      <c r="AJ54" s="32">
        <v>2</v>
      </c>
      <c r="AK54" s="33">
        <f t="shared" si="24"/>
        <v>1740000</v>
      </c>
    </row>
    <row r="55" spans="2:37">
      <c r="B55" s="32" t="s">
        <v>238</v>
      </c>
      <c r="C55" s="33">
        <v>550000</v>
      </c>
      <c r="D55" s="32">
        <v>0</v>
      </c>
      <c r="E55" s="33">
        <f t="shared" si="25"/>
        <v>0</v>
      </c>
      <c r="F55" s="33">
        <v>550000</v>
      </c>
      <c r="G55" s="32">
        <v>0</v>
      </c>
      <c r="H55" s="33">
        <f t="shared" si="26"/>
        <v>0</v>
      </c>
      <c r="I55" s="33">
        <v>550000</v>
      </c>
      <c r="J55" s="32">
        <v>0</v>
      </c>
      <c r="K55" s="33">
        <f t="shared" si="27"/>
        <v>0</v>
      </c>
      <c r="N55" s="32" t="s">
        <v>238</v>
      </c>
      <c r="O55" s="33">
        <v>435000</v>
      </c>
      <c r="P55" s="32">
        <v>0</v>
      </c>
      <c r="Q55" s="33">
        <f t="shared" si="28"/>
        <v>0</v>
      </c>
      <c r="R55" s="33">
        <v>435000</v>
      </c>
      <c r="S55" s="32">
        <v>0</v>
      </c>
      <c r="T55" s="33">
        <f t="shared" si="29"/>
        <v>0</v>
      </c>
      <c r="U55" s="33">
        <v>435000</v>
      </c>
      <c r="V55" s="32">
        <v>0</v>
      </c>
      <c r="W55" s="33">
        <f t="shared" si="30"/>
        <v>0</v>
      </c>
      <c r="AC55" s="33"/>
      <c r="AD55" s="32"/>
      <c r="AE55" s="33">
        <f t="shared" si="22"/>
        <v>0</v>
      </c>
      <c r="AF55" s="33">
        <v>435000</v>
      </c>
      <c r="AG55" s="32">
        <v>0</v>
      </c>
      <c r="AH55" s="33">
        <f t="shared" si="23"/>
        <v>0</v>
      </c>
      <c r="AI55" s="33">
        <v>435000</v>
      </c>
      <c r="AJ55" s="32">
        <v>0</v>
      </c>
      <c r="AK55" s="33">
        <f t="shared" si="24"/>
        <v>0</v>
      </c>
    </row>
    <row r="56" spans="2:37">
      <c r="B56" s="32" t="s">
        <v>239</v>
      </c>
      <c r="C56" s="33">
        <v>420000</v>
      </c>
      <c r="D56" s="32">
        <v>0</v>
      </c>
      <c r="E56" s="33">
        <f t="shared" si="25"/>
        <v>0</v>
      </c>
      <c r="F56" s="33">
        <v>420000</v>
      </c>
      <c r="G56" s="32">
        <v>0</v>
      </c>
      <c r="H56" s="33">
        <f t="shared" si="26"/>
        <v>0</v>
      </c>
      <c r="I56" s="33">
        <v>420000</v>
      </c>
      <c r="J56" s="32">
        <v>0</v>
      </c>
      <c r="K56" s="33">
        <f t="shared" si="27"/>
        <v>0</v>
      </c>
      <c r="N56" s="32" t="s">
        <v>239</v>
      </c>
      <c r="O56" s="33">
        <v>420000</v>
      </c>
      <c r="P56" s="32">
        <v>0</v>
      </c>
      <c r="Q56" s="33">
        <f t="shared" si="28"/>
        <v>0</v>
      </c>
      <c r="R56" s="33">
        <v>420000</v>
      </c>
      <c r="S56" s="32">
        <v>0</v>
      </c>
      <c r="T56" s="33">
        <f t="shared" si="29"/>
        <v>0</v>
      </c>
      <c r="U56" s="33">
        <v>420000</v>
      </c>
      <c r="V56" s="32">
        <v>0</v>
      </c>
      <c r="W56" s="33">
        <f t="shared" si="30"/>
        <v>0</v>
      </c>
      <c r="AC56" s="33"/>
      <c r="AD56" s="32"/>
      <c r="AE56" s="33">
        <f t="shared" si="22"/>
        <v>0</v>
      </c>
      <c r="AF56" s="33">
        <v>420000</v>
      </c>
      <c r="AG56" s="32">
        <v>0</v>
      </c>
      <c r="AH56" s="33">
        <f t="shared" si="23"/>
        <v>0</v>
      </c>
      <c r="AI56" s="33">
        <v>420000</v>
      </c>
      <c r="AJ56" s="32">
        <v>0</v>
      </c>
      <c r="AK56" s="33">
        <f t="shared" si="24"/>
        <v>0</v>
      </c>
    </row>
    <row r="57" spans="2:37">
      <c r="B57" s="32" t="s">
        <v>240</v>
      </c>
      <c r="C57" s="33">
        <v>450000</v>
      </c>
      <c r="D57" s="32">
        <v>0</v>
      </c>
      <c r="E57" s="33">
        <f t="shared" si="25"/>
        <v>0</v>
      </c>
      <c r="F57" s="33">
        <v>450000</v>
      </c>
      <c r="G57" s="32">
        <v>0</v>
      </c>
      <c r="H57" s="33">
        <f t="shared" si="26"/>
        <v>0</v>
      </c>
      <c r="I57" s="33">
        <v>450000</v>
      </c>
      <c r="J57" s="32">
        <v>0</v>
      </c>
      <c r="K57" s="33">
        <f t="shared" si="27"/>
        <v>0</v>
      </c>
      <c r="N57" s="32" t="s">
        <v>240</v>
      </c>
      <c r="O57" s="33">
        <v>450000</v>
      </c>
      <c r="P57" s="32">
        <v>0</v>
      </c>
      <c r="Q57" s="33">
        <f t="shared" si="28"/>
        <v>0</v>
      </c>
      <c r="R57" s="33">
        <v>450000</v>
      </c>
      <c r="S57" s="32">
        <v>0</v>
      </c>
      <c r="T57" s="33">
        <f t="shared" si="29"/>
        <v>0</v>
      </c>
      <c r="U57" s="33">
        <v>450000</v>
      </c>
      <c r="V57" s="32">
        <v>0</v>
      </c>
      <c r="W57" s="33">
        <f t="shared" si="30"/>
        <v>0</v>
      </c>
      <c r="AC57" s="33"/>
      <c r="AD57" s="32"/>
      <c r="AE57" s="33">
        <f t="shared" si="22"/>
        <v>0</v>
      </c>
      <c r="AF57" s="33">
        <v>450000</v>
      </c>
      <c r="AG57" s="32">
        <v>0</v>
      </c>
      <c r="AH57" s="33">
        <f t="shared" si="23"/>
        <v>0</v>
      </c>
      <c r="AI57" s="33">
        <v>450000</v>
      </c>
      <c r="AJ57" s="32">
        <v>0</v>
      </c>
      <c r="AK57" s="33">
        <f t="shared" si="24"/>
        <v>0</v>
      </c>
    </row>
    <row r="58" spans="2:37">
      <c r="B58" s="32" t="s">
        <v>183</v>
      </c>
      <c r="C58" s="33">
        <v>5700</v>
      </c>
      <c r="D58" s="32">
        <v>0</v>
      </c>
      <c r="E58" s="33">
        <f t="shared" si="25"/>
        <v>0</v>
      </c>
      <c r="F58" s="33">
        <v>5700</v>
      </c>
      <c r="G58" s="32">
        <v>0</v>
      </c>
      <c r="H58" s="33">
        <f t="shared" si="26"/>
        <v>0</v>
      </c>
      <c r="I58" s="33">
        <v>5700</v>
      </c>
      <c r="J58" s="32">
        <v>0</v>
      </c>
      <c r="K58" s="33">
        <f t="shared" si="27"/>
        <v>0</v>
      </c>
      <c r="N58" s="32" t="s">
        <v>241</v>
      </c>
      <c r="O58" s="33"/>
      <c r="P58" s="32">
        <v>0</v>
      </c>
      <c r="Q58" s="33">
        <f t="shared" si="28"/>
        <v>0</v>
      </c>
      <c r="R58" s="33"/>
      <c r="S58" s="32">
        <v>0</v>
      </c>
      <c r="T58" s="33">
        <f t="shared" si="29"/>
        <v>0</v>
      </c>
      <c r="U58" s="33"/>
      <c r="V58" s="32">
        <v>0</v>
      </c>
      <c r="W58" s="33">
        <f t="shared" si="30"/>
        <v>0</v>
      </c>
      <c r="AC58" s="33"/>
      <c r="AD58" s="32"/>
      <c r="AE58" s="33">
        <f t="shared" si="22"/>
        <v>0</v>
      </c>
      <c r="AF58" s="33"/>
      <c r="AG58" s="32">
        <v>0</v>
      </c>
      <c r="AH58" s="33">
        <f t="shared" si="23"/>
        <v>0</v>
      </c>
      <c r="AI58" s="33">
        <v>5700</v>
      </c>
      <c r="AJ58" s="32">
        <v>0</v>
      </c>
      <c r="AK58" s="33">
        <f t="shared" si="24"/>
        <v>0</v>
      </c>
    </row>
    <row r="59" spans="2:37" s="2" customFormat="1">
      <c r="B59" s="35"/>
      <c r="C59" s="35"/>
      <c r="D59" s="31" t="s">
        <v>48</v>
      </c>
      <c r="E59" s="36">
        <f>SUM(E50:E58)</f>
        <v>422584000</v>
      </c>
      <c r="F59" s="35"/>
      <c r="G59" s="31" t="s">
        <v>48</v>
      </c>
      <c r="H59" s="36">
        <f>SUM(H50:H58)</f>
        <v>668364000</v>
      </c>
      <c r="I59" s="35"/>
      <c r="J59" s="31" t="s">
        <v>48</v>
      </c>
      <c r="K59" s="36">
        <f>SUM(K50:K58)</f>
        <v>222788000</v>
      </c>
      <c r="N59" s="35"/>
      <c r="O59" s="35"/>
      <c r="P59" s="31" t="s">
        <v>48</v>
      </c>
      <c r="Q59" s="36">
        <f>SUM(Q50:Q58)</f>
        <v>422584000</v>
      </c>
      <c r="R59" s="35"/>
      <c r="S59" s="31" t="s">
        <v>48</v>
      </c>
      <c r="T59" s="51">
        <f>SUM(T50:T58)</f>
        <v>668364000</v>
      </c>
      <c r="U59" s="35"/>
      <c r="V59" s="31" t="s">
        <v>48</v>
      </c>
      <c r="W59" s="36">
        <f>SUM(W50:W58)</f>
        <v>222788000</v>
      </c>
      <c r="AC59" s="35"/>
      <c r="AD59" s="31" t="s">
        <v>48</v>
      </c>
      <c r="AE59" s="36">
        <f>SUM(AE50:AE58)</f>
        <v>0</v>
      </c>
      <c r="AF59" s="35"/>
      <c r="AG59" s="31" t="s">
        <v>48</v>
      </c>
      <c r="AH59" s="51">
        <f>SUM(AH50:AH58)</f>
        <v>557627380</v>
      </c>
      <c r="AI59" s="35"/>
      <c r="AJ59" s="31" t="s">
        <v>48</v>
      </c>
      <c r="AK59" s="36">
        <f>SUM(AK50:AK58)</f>
        <v>189818406.66666663</v>
      </c>
    </row>
    <row r="60" spans="2:37" s="2" customFormat="1">
      <c r="B60" s="41"/>
      <c r="C60" s="41"/>
      <c r="D60" s="42"/>
      <c r="E60" s="43">
        <f>E59/D50</f>
        <v>52823000</v>
      </c>
      <c r="F60" s="41"/>
      <c r="G60" s="42"/>
      <c r="H60" s="43">
        <f>H59/G50</f>
        <v>55697000</v>
      </c>
      <c r="I60" s="41"/>
      <c r="J60" s="42"/>
      <c r="K60" s="43">
        <f>K59/J50</f>
        <v>55697000</v>
      </c>
      <c r="O60" s="62">
        <f>O50+O51</f>
        <v>52823000</v>
      </c>
      <c r="P60" s="42"/>
      <c r="Q60" s="43"/>
      <c r="R60" s="62">
        <f>R50+R51</f>
        <v>55697000</v>
      </c>
      <c r="S60" s="42"/>
      <c r="T60" s="43"/>
      <c r="U60" s="62">
        <f>U50+U51</f>
        <v>55697000</v>
      </c>
      <c r="V60" s="42"/>
      <c r="W60" s="43"/>
      <c r="AC60" s="41"/>
      <c r="AD60" s="42"/>
      <c r="AE60" s="43"/>
      <c r="AF60" s="41"/>
      <c r="AG60" s="42"/>
      <c r="AH60" s="43">
        <f>AH59/AH61</f>
        <v>50693398.18181818</v>
      </c>
      <c r="AI60" s="41"/>
      <c r="AJ60" s="42"/>
      <c r="AK60" s="43">
        <f>AK59/AK61</f>
        <v>47454601.666666657</v>
      </c>
    </row>
    <row r="61" spans="2:37" s="2" customFormat="1">
      <c r="C61" s="41"/>
      <c r="D61" s="42"/>
      <c r="E61" s="43"/>
      <c r="F61" s="41"/>
      <c r="G61" s="42"/>
      <c r="H61" s="43"/>
      <c r="I61" s="41"/>
      <c r="J61" s="42"/>
      <c r="K61" s="43"/>
      <c r="O61" s="41"/>
      <c r="P61" s="42"/>
      <c r="Q61" s="43"/>
      <c r="R61" s="41"/>
      <c r="S61" s="42"/>
      <c r="T61" s="43"/>
      <c r="U61" s="41"/>
      <c r="V61" s="42"/>
      <c r="W61" s="43"/>
      <c r="AC61" s="41"/>
      <c r="AD61" s="42"/>
      <c r="AE61" s="43"/>
      <c r="AF61" s="41"/>
      <c r="AG61" s="42"/>
      <c r="AH61" s="43">
        <v>11</v>
      </c>
      <c r="AI61" s="41"/>
      <c r="AJ61" s="42"/>
      <c r="AK61" s="43">
        <v>4</v>
      </c>
    </row>
    <row r="62" spans="2:37" ht="15" customHeight="1">
      <c r="B62" s="379" t="s">
        <v>307</v>
      </c>
      <c r="C62" s="330" t="s">
        <v>10</v>
      </c>
      <c r="D62" s="331"/>
      <c r="E62" s="332"/>
      <c r="F62" s="330" t="s">
        <v>15</v>
      </c>
      <c r="G62" s="331"/>
      <c r="H62" s="332"/>
      <c r="I62" s="330" t="s">
        <v>17</v>
      </c>
      <c r="J62" s="331"/>
      <c r="K62" s="332"/>
      <c r="N62" s="375" t="s">
        <v>307</v>
      </c>
      <c r="O62" s="330" t="s">
        <v>10</v>
      </c>
      <c r="P62" s="331"/>
      <c r="Q62" s="332"/>
      <c r="R62" s="330" t="s">
        <v>15</v>
      </c>
      <c r="S62" s="331"/>
      <c r="T62" s="332"/>
      <c r="U62" s="330" t="s">
        <v>17</v>
      </c>
      <c r="V62" s="331"/>
      <c r="W62" s="332"/>
    </row>
    <row r="63" spans="2:37">
      <c r="B63" s="380"/>
      <c r="C63" s="30" t="s">
        <v>180</v>
      </c>
      <c r="D63" s="31" t="s">
        <v>41</v>
      </c>
      <c r="E63" s="31" t="s">
        <v>44</v>
      </c>
      <c r="F63" s="30" t="s">
        <v>180</v>
      </c>
      <c r="G63" s="31" t="s">
        <v>41</v>
      </c>
      <c r="H63" s="31" t="s">
        <v>44</v>
      </c>
      <c r="I63" s="30" t="s">
        <v>180</v>
      </c>
      <c r="J63" s="31" t="s">
        <v>41</v>
      </c>
      <c r="K63" s="31" t="s">
        <v>44</v>
      </c>
      <c r="N63" s="376"/>
      <c r="O63" s="30" t="s">
        <v>180</v>
      </c>
      <c r="P63" s="31" t="s">
        <v>41</v>
      </c>
      <c r="Q63" s="31" t="s">
        <v>44</v>
      </c>
      <c r="R63" s="30" t="s">
        <v>180</v>
      </c>
      <c r="S63" s="31" t="s">
        <v>41</v>
      </c>
      <c r="T63" s="31" t="s">
        <v>44</v>
      </c>
      <c r="U63" s="30" t="s">
        <v>180</v>
      </c>
      <c r="V63" s="31" t="s">
        <v>41</v>
      </c>
      <c r="W63" s="31" t="s">
        <v>44</v>
      </c>
      <c r="AH63" s="56">
        <f>+AH53-H9</f>
        <v>-6889740</v>
      </c>
    </row>
    <row r="64" spans="2:37">
      <c r="B64" s="32" t="s">
        <v>233</v>
      </c>
      <c r="C64" s="33">
        <v>41470000</v>
      </c>
      <c r="D64" s="32">
        <v>8</v>
      </c>
      <c r="E64" s="33">
        <f>+C64*D64</f>
        <v>331760000</v>
      </c>
      <c r="F64" s="33">
        <v>41850000</v>
      </c>
      <c r="G64" s="32">
        <v>12</v>
      </c>
      <c r="H64" s="33">
        <f>+F64*G64</f>
        <v>502200000</v>
      </c>
      <c r="I64" s="33">
        <v>41850000</v>
      </c>
      <c r="J64" s="32">
        <v>4</v>
      </c>
      <c r="K64" s="33">
        <f>+I64*J64</f>
        <v>167400000</v>
      </c>
      <c r="N64" s="32" t="s">
        <v>233</v>
      </c>
      <c r="O64" s="33">
        <v>41470000</v>
      </c>
      <c r="P64" s="32">
        <v>8</v>
      </c>
      <c r="Q64" s="33">
        <f>+O64*P64</f>
        <v>331760000</v>
      </c>
      <c r="R64" s="33">
        <v>41850000</v>
      </c>
      <c r="S64" s="32">
        <v>8</v>
      </c>
      <c r="T64" s="33">
        <f>+R64*S64</f>
        <v>334800000</v>
      </c>
      <c r="U64" s="33">
        <v>41850000</v>
      </c>
      <c r="V64" s="32">
        <v>4</v>
      </c>
      <c r="W64" s="33">
        <f>+U64*V64</f>
        <v>167400000</v>
      </c>
    </row>
    <row r="65" spans="2:32">
      <c r="B65" s="32" t="s">
        <v>234</v>
      </c>
      <c r="C65" s="33">
        <v>7258000</v>
      </c>
      <c r="D65" s="32">
        <v>8</v>
      </c>
      <c r="E65" s="33">
        <f>+C65*D65</f>
        <v>58064000</v>
      </c>
      <c r="F65" s="33">
        <v>9752000</v>
      </c>
      <c r="G65" s="32">
        <v>12</v>
      </c>
      <c r="H65" s="33">
        <f>+F65*G65</f>
        <v>117024000</v>
      </c>
      <c r="I65" s="33">
        <v>9752000</v>
      </c>
      <c r="J65" s="32">
        <v>4</v>
      </c>
      <c r="K65" s="33">
        <f>+I65*J65</f>
        <v>39008000</v>
      </c>
      <c r="N65" s="32" t="s">
        <v>234</v>
      </c>
      <c r="O65" s="33">
        <v>7258000</v>
      </c>
      <c r="P65" s="32">
        <v>8</v>
      </c>
      <c r="Q65" s="33">
        <f>+O65*P65</f>
        <v>58064000</v>
      </c>
      <c r="R65" s="33">
        <v>9752000</v>
      </c>
      <c r="S65" s="32">
        <v>8</v>
      </c>
      <c r="T65" s="33">
        <f>+R65*S65</f>
        <v>78016000</v>
      </c>
      <c r="U65" s="33">
        <v>9752000</v>
      </c>
      <c r="V65" s="32">
        <v>4</v>
      </c>
      <c r="W65" s="33">
        <f>+U65*V65</f>
        <v>39008000</v>
      </c>
    </row>
    <row r="66" spans="2:32">
      <c r="B66" s="32" t="s">
        <v>235</v>
      </c>
      <c r="C66" s="33">
        <v>6600</v>
      </c>
      <c r="D66" s="32">
        <v>0</v>
      </c>
      <c r="E66" s="33">
        <f t="shared" ref="E66:E72" si="31">+C66*D66</f>
        <v>0</v>
      </c>
      <c r="F66" s="33">
        <v>6600</v>
      </c>
      <c r="G66" s="32">
        <v>0</v>
      </c>
      <c r="H66" s="33">
        <f t="shared" ref="H66:H72" si="32">+F66*G66</f>
        <v>0</v>
      </c>
      <c r="I66" s="33">
        <v>6600</v>
      </c>
      <c r="J66" s="32">
        <v>0</v>
      </c>
      <c r="K66" s="33">
        <f t="shared" ref="K66:K72" si="33">+I66*J66</f>
        <v>0</v>
      </c>
      <c r="N66" s="32" t="s">
        <v>235</v>
      </c>
      <c r="O66" s="33">
        <v>4300</v>
      </c>
      <c r="P66" s="32">
        <v>0</v>
      </c>
      <c r="Q66" s="33">
        <f t="shared" ref="Q66:Q72" si="34">+O66*P66</f>
        <v>0</v>
      </c>
      <c r="R66" s="33">
        <v>4300</v>
      </c>
      <c r="S66" s="32">
        <v>0</v>
      </c>
      <c r="T66" s="33">
        <f t="shared" ref="T66:T72" si="35">+R66*S66</f>
        <v>0</v>
      </c>
      <c r="U66" s="33">
        <v>4300</v>
      </c>
      <c r="V66" s="32">
        <v>0</v>
      </c>
      <c r="W66" s="33">
        <f t="shared" ref="W66:W72" si="36">+U66*V66</f>
        <v>0</v>
      </c>
    </row>
    <row r="67" spans="2:32">
      <c r="B67" s="32" t="s">
        <v>236</v>
      </c>
      <c r="C67" s="33">
        <v>80300</v>
      </c>
      <c r="D67" s="61">
        <f>D52</f>
        <v>0</v>
      </c>
      <c r="E67" s="33">
        <f t="shared" si="31"/>
        <v>0</v>
      </c>
      <c r="F67" s="33">
        <v>80300</v>
      </c>
      <c r="G67" s="61">
        <f>G52</f>
        <v>0</v>
      </c>
      <c r="H67" s="33">
        <f t="shared" si="32"/>
        <v>0</v>
      </c>
      <c r="I67" s="33">
        <v>80300</v>
      </c>
      <c r="J67" s="61">
        <f>J52</f>
        <v>0</v>
      </c>
      <c r="K67" s="33">
        <f t="shared" si="33"/>
        <v>0</v>
      </c>
      <c r="N67" s="32" t="s">
        <v>236</v>
      </c>
      <c r="O67" s="33">
        <v>80300</v>
      </c>
      <c r="P67" s="61">
        <f>P52</f>
        <v>0</v>
      </c>
      <c r="Q67" s="33">
        <f t="shared" si="34"/>
        <v>0</v>
      </c>
      <c r="R67" s="33">
        <v>80300</v>
      </c>
      <c r="S67" s="61">
        <f>S52</f>
        <v>0</v>
      </c>
      <c r="T67" s="33">
        <f t="shared" si="35"/>
        <v>0</v>
      </c>
      <c r="U67" s="33">
        <v>80300</v>
      </c>
      <c r="V67" s="61">
        <f>V52</f>
        <v>0</v>
      </c>
      <c r="W67" s="33">
        <f t="shared" si="36"/>
        <v>0</v>
      </c>
      <c r="AF67" s="56">
        <f>+AF50+8*R64</f>
        <v>707504000</v>
      </c>
    </row>
    <row r="68" spans="2:32">
      <c r="B68" s="32" t="s">
        <v>237</v>
      </c>
      <c r="C68" s="33">
        <v>1100000</v>
      </c>
      <c r="D68" s="32">
        <v>0</v>
      </c>
      <c r="E68" s="33">
        <f t="shared" si="31"/>
        <v>0</v>
      </c>
      <c r="F68" s="33">
        <v>1100000</v>
      </c>
      <c r="G68" s="32">
        <v>0</v>
      </c>
      <c r="H68" s="33">
        <f t="shared" si="32"/>
        <v>0</v>
      </c>
      <c r="I68" s="33">
        <v>1100000</v>
      </c>
      <c r="J68" s="32">
        <v>0</v>
      </c>
      <c r="K68" s="33">
        <f t="shared" si="33"/>
        <v>0</v>
      </c>
      <c r="N68" s="32" t="s">
        <v>237</v>
      </c>
      <c r="O68" s="33">
        <v>870000</v>
      </c>
      <c r="P68" s="32">
        <v>0</v>
      </c>
      <c r="Q68" s="33">
        <f t="shared" si="34"/>
        <v>0</v>
      </c>
      <c r="R68" s="33">
        <v>870000</v>
      </c>
      <c r="S68" s="32">
        <v>0</v>
      </c>
      <c r="T68" s="33">
        <f t="shared" si="35"/>
        <v>0</v>
      </c>
      <c r="U68" s="33">
        <v>870000</v>
      </c>
      <c r="V68" s="32">
        <v>0</v>
      </c>
      <c r="W68" s="33">
        <f t="shared" si="36"/>
        <v>0</v>
      </c>
    </row>
    <row r="69" spans="2:32">
      <c r="B69" s="32" t="s">
        <v>238</v>
      </c>
      <c r="C69" s="33">
        <v>550000</v>
      </c>
      <c r="D69" s="32">
        <v>0</v>
      </c>
      <c r="E69" s="33">
        <f t="shared" si="31"/>
        <v>0</v>
      </c>
      <c r="F69" s="33">
        <v>550000</v>
      </c>
      <c r="G69" s="32">
        <v>0</v>
      </c>
      <c r="H69" s="33">
        <f t="shared" si="32"/>
        <v>0</v>
      </c>
      <c r="I69" s="33">
        <v>550000</v>
      </c>
      <c r="J69" s="32">
        <v>0</v>
      </c>
      <c r="K69" s="33">
        <f t="shared" si="33"/>
        <v>0</v>
      </c>
      <c r="N69" s="32" t="s">
        <v>238</v>
      </c>
      <c r="O69" s="33">
        <v>435000</v>
      </c>
      <c r="P69" s="32">
        <v>0</v>
      </c>
      <c r="Q69" s="33">
        <f t="shared" si="34"/>
        <v>0</v>
      </c>
      <c r="R69" s="33">
        <v>435000</v>
      </c>
      <c r="S69" s="32">
        <v>0</v>
      </c>
      <c r="T69" s="33">
        <f t="shared" si="35"/>
        <v>0</v>
      </c>
      <c r="U69" s="33">
        <v>435000</v>
      </c>
      <c r="V69" s="32">
        <v>0</v>
      </c>
      <c r="W69" s="33">
        <f t="shared" si="36"/>
        <v>0</v>
      </c>
    </row>
    <row r="70" spans="2:32">
      <c r="B70" s="32" t="s">
        <v>239</v>
      </c>
      <c r="C70" s="33">
        <v>420000</v>
      </c>
      <c r="D70" s="32">
        <v>0</v>
      </c>
      <c r="E70" s="33">
        <f t="shared" si="31"/>
        <v>0</v>
      </c>
      <c r="F70" s="33">
        <v>420000</v>
      </c>
      <c r="G70" s="32">
        <v>0</v>
      </c>
      <c r="H70" s="33">
        <f t="shared" si="32"/>
        <v>0</v>
      </c>
      <c r="I70" s="33">
        <v>420000</v>
      </c>
      <c r="J70" s="32">
        <v>0</v>
      </c>
      <c r="K70" s="33">
        <f t="shared" si="33"/>
        <v>0</v>
      </c>
      <c r="N70" s="32" t="s">
        <v>239</v>
      </c>
      <c r="O70" s="33">
        <v>420000</v>
      </c>
      <c r="P70" s="32">
        <v>0</v>
      </c>
      <c r="Q70" s="33">
        <f t="shared" si="34"/>
        <v>0</v>
      </c>
      <c r="R70" s="33">
        <v>420000</v>
      </c>
      <c r="S70" s="32">
        <v>0</v>
      </c>
      <c r="T70" s="33">
        <f t="shared" si="35"/>
        <v>0</v>
      </c>
      <c r="U70" s="33">
        <v>420000</v>
      </c>
      <c r="V70" s="32">
        <v>0</v>
      </c>
      <c r="W70" s="33">
        <f t="shared" si="36"/>
        <v>0</v>
      </c>
    </row>
    <row r="71" spans="2:32">
      <c r="B71" s="32" t="s">
        <v>240</v>
      </c>
      <c r="C71" s="33">
        <v>450000</v>
      </c>
      <c r="D71" s="32">
        <v>0</v>
      </c>
      <c r="E71" s="33">
        <f t="shared" si="31"/>
        <v>0</v>
      </c>
      <c r="F71" s="33">
        <v>450000</v>
      </c>
      <c r="G71" s="32">
        <v>0</v>
      </c>
      <c r="H71" s="33">
        <f t="shared" si="32"/>
        <v>0</v>
      </c>
      <c r="I71" s="33">
        <v>450000</v>
      </c>
      <c r="J71" s="32">
        <v>0</v>
      </c>
      <c r="K71" s="33">
        <f t="shared" si="33"/>
        <v>0</v>
      </c>
      <c r="N71" s="32" t="s">
        <v>240</v>
      </c>
      <c r="O71" s="33">
        <v>450000</v>
      </c>
      <c r="P71" s="32">
        <v>0</v>
      </c>
      <c r="Q71" s="33">
        <f t="shared" si="34"/>
        <v>0</v>
      </c>
      <c r="R71" s="33">
        <v>450000</v>
      </c>
      <c r="S71" s="32">
        <v>0</v>
      </c>
      <c r="T71" s="33">
        <f t="shared" si="35"/>
        <v>0</v>
      </c>
      <c r="U71" s="33">
        <v>450000</v>
      </c>
      <c r="V71" s="32">
        <v>0</v>
      </c>
      <c r="W71" s="33">
        <f t="shared" si="36"/>
        <v>0</v>
      </c>
    </row>
    <row r="72" spans="2:32">
      <c r="B72" s="32" t="s">
        <v>183</v>
      </c>
      <c r="C72" s="33">
        <v>5700</v>
      </c>
      <c r="D72" s="32">
        <v>0</v>
      </c>
      <c r="E72" s="33">
        <f t="shared" si="31"/>
        <v>0</v>
      </c>
      <c r="F72" s="33">
        <v>5700</v>
      </c>
      <c r="G72" s="32">
        <v>0</v>
      </c>
      <c r="H72" s="33">
        <f t="shared" si="32"/>
        <v>0</v>
      </c>
      <c r="I72" s="33">
        <v>5700</v>
      </c>
      <c r="J72" s="32">
        <v>0</v>
      </c>
      <c r="K72" s="33">
        <f t="shared" si="33"/>
        <v>0</v>
      </c>
      <c r="N72" s="32" t="s">
        <v>241</v>
      </c>
      <c r="O72" s="33">
        <v>5700</v>
      </c>
      <c r="P72" s="32">
        <v>0</v>
      </c>
      <c r="Q72" s="33">
        <f t="shared" si="34"/>
        <v>0</v>
      </c>
      <c r="R72" s="33">
        <v>5700</v>
      </c>
      <c r="S72" s="32">
        <v>0</v>
      </c>
      <c r="T72" s="33">
        <f t="shared" si="35"/>
        <v>0</v>
      </c>
      <c r="U72" s="33">
        <v>5700</v>
      </c>
      <c r="V72" s="32">
        <v>0</v>
      </c>
      <c r="W72" s="33">
        <f t="shared" si="36"/>
        <v>0</v>
      </c>
    </row>
    <row r="73" spans="2:32" s="2" customFormat="1">
      <c r="B73" s="35"/>
      <c r="C73" s="35"/>
      <c r="D73" s="31" t="s">
        <v>48</v>
      </c>
      <c r="E73" s="385">
        <f>SUM(E64:E72)</f>
        <v>389824000</v>
      </c>
      <c r="F73" s="35"/>
      <c r="G73" s="31" t="s">
        <v>48</v>
      </c>
      <c r="H73" s="36">
        <f>SUM(H64:H72)</f>
        <v>619224000</v>
      </c>
      <c r="I73" s="35"/>
      <c r="J73" s="31" t="s">
        <v>48</v>
      </c>
      <c r="K73" s="36">
        <f>SUM(K64:K72)</f>
        <v>206408000</v>
      </c>
      <c r="N73" s="35"/>
      <c r="O73" s="35"/>
      <c r="P73" s="31" t="s">
        <v>48</v>
      </c>
      <c r="Q73" s="36">
        <f>SUM(Q64:Q72)</f>
        <v>389824000</v>
      </c>
      <c r="R73" s="35"/>
      <c r="S73" s="31" t="s">
        <v>48</v>
      </c>
      <c r="T73" s="51">
        <f>SUM(T64:T72)</f>
        <v>412816000</v>
      </c>
      <c r="U73" s="35"/>
      <c r="V73" s="31" t="s">
        <v>48</v>
      </c>
      <c r="W73" s="36">
        <f>SUM(W64:W72)</f>
        <v>206408000</v>
      </c>
    </row>
    <row r="74" spans="2:32" s="2" customFormat="1">
      <c r="B74" s="41"/>
      <c r="C74" s="41"/>
      <c r="D74" s="42"/>
      <c r="E74" s="43">
        <f>E73/D64</f>
        <v>48728000</v>
      </c>
      <c r="F74" s="41"/>
      <c r="G74" s="42"/>
      <c r="H74" s="43">
        <f>H73/G64</f>
        <v>51602000</v>
      </c>
      <c r="I74" s="41"/>
      <c r="J74" s="42"/>
      <c r="K74" s="43">
        <f>K73/J64</f>
        <v>51602000</v>
      </c>
      <c r="O74" s="62">
        <f>O64+O65</f>
        <v>48728000</v>
      </c>
      <c r="P74" s="42"/>
      <c r="Q74" s="43"/>
      <c r="R74" s="62">
        <f>R64+R65</f>
        <v>51602000</v>
      </c>
      <c r="S74" s="42"/>
      <c r="T74" s="43"/>
      <c r="U74" s="62">
        <f>U64+U65</f>
        <v>51602000</v>
      </c>
      <c r="V74" s="42"/>
      <c r="W74" s="43"/>
    </row>
    <row r="75" spans="2:32" s="2" customFormat="1">
      <c r="B75" s="41"/>
      <c r="C75" s="41"/>
      <c r="D75" s="42"/>
      <c r="E75" s="43"/>
      <c r="F75" s="41"/>
      <c r="G75" s="42"/>
      <c r="H75" s="43"/>
      <c r="I75" s="41"/>
      <c r="J75" s="42"/>
      <c r="K75" s="43"/>
      <c r="O75" s="41"/>
      <c r="P75" s="42"/>
      <c r="Q75" s="43"/>
      <c r="R75" s="41"/>
      <c r="S75" s="42"/>
      <c r="T75" s="43"/>
      <c r="U75" s="41"/>
      <c r="V75" s="42"/>
      <c r="W75" s="43"/>
    </row>
    <row r="76" spans="2:32" s="2" customFormat="1">
      <c r="B76" s="41"/>
      <c r="C76" s="41"/>
      <c r="D76" s="42"/>
      <c r="E76" s="43"/>
      <c r="F76" s="41"/>
      <c r="G76" s="42"/>
      <c r="H76" s="43"/>
      <c r="I76" s="41"/>
      <c r="J76" s="42"/>
      <c r="K76" s="43"/>
      <c r="N76" s="41"/>
      <c r="O76" s="41"/>
      <c r="P76" s="42"/>
      <c r="Q76" s="43"/>
      <c r="R76" s="62">
        <f>+T65+AH51</f>
        <v>205749220</v>
      </c>
      <c r="S76" s="42"/>
      <c r="T76" s="52">
        <f>+T73+W73</f>
        <v>619224000</v>
      </c>
      <c r="U76" s="41">
        <f>+T76/23000</f>
        <v>26922.782608695652</v>
      </c>
      <c r="V76" s="42"/>
      <c r="W76" s="43"/>
    </row>
    <row r="77" spans="2:32" s="2" customFormat="1">
      <c r="B77" s="41"/>
      <c r="C77" s="29" t="s">
        <v>308</v>
      </c>
      <c r="D77" s="29"/>
      <c r="E77" s="29"/>
      <c r="F77" s="29" t="s">
        <v>309</v>
      </c>
      <c r="G77" s="29"/>
      <c r="H77" s="29"/>
      <c r="I77" s="29" t="s">
        <v>310</v>
      </c>
      <c r="J77" s="29"/>
      <c r="K77" s="29"/>
      <c r="N77" s="41"/>
      <c r="O77" s="41"/>
      <c r="P77" s="42"/>
      <c r="Q77" s="43"/>
      <c r="R77" s="41"/>
      <c r="S77" s="42"/>
      <c r="T77" s="52"/>
      <c r="U77" s="41"/>
      <c r="V77" s="42"/>
      <c r="W77" s="43"/>
    </row>
    <row r="78" spans="2:32">
      <c r="B78" s="379" t="s">
        <v>311</v>
      </c>
      <c r="C78" s="330" t="s">
        <v>10</v>
      </c>
      <c r="D78" s="331"/>
      <c r="E78" s="332"/>
      <c r="F78" s="330" t="s">
        <v>15</v>
      </c>
      <c r="G78" s="331"/>
      <c r="H78" s="332"/>
      <c r="I78" s="330" t="s">
        <v>17</v>
      </c>
      <c r="J78" s="331"/>
      <c r="K78" s="332"/>
      <c r="N78" s="340" t="s">
        <v>4</v>
      </c>
      <c r="O78" s="330" t="s">
        <v>10</v>
      </c>
      <c r="P78" s="331"/>
      <c r="Q78" s="332"/>
      <c r="R78" s="330" t="s">
        <v>15</v>
      </c>
      <c r="S78" s="331"/>
      <c r="T78" s="332"/>
      <c r="U78" s="330" t="s">
        <v>17</v>
      </c>
      <c r="V78" s="331"/>
      <c r="W78" s="332"/>
    </row>
    <row r="79" spans="2:32">
      <c r="B79" s="380"/>
      <c r="C79" s="30" t="s">
        <v>180</v>
      </c>
      <c r="D79" s="31" t="s">
        <v>41</v>
      </c>
      <c r="E79" s="31" t="s">
        <v>44</v>
      </c>
      <c r="F79" s="30" t="s">
        <v>180</v>
      </c>
      <c r="G79" s="31" t="s">
        <v>41</v>
      </c>
      <c r="H79" s="31" t="s">
        <v>44</v>
      </c>
      <c r="I79" s="30" t="s">
        <v>180</v>
      </c>
      <c r="J79" s="31" t="s">
        <v>41</v>
      </c>
      <c r="K79" s="31" t="s">
        <v>44</v>
      </c>
      <c r="N79" s="341"/>
      <c r="O79" s="30" t="s">
        <v>180</v>
      </c>
      <c r="P79" s="31" t="s">
        <v>41</v>
      </c>
      <c r="Q79" s="31" t="s">
        <v>44</v>
      </c>
      <c r="R79" s="30" t="s">
        <v>180</v>
      </c>
      <c r="S79" s="31" t="s">
        <v>41</v>
      </c>
      <c r="T79" s="31" t="s">
        <v>44</v>
      </c>
      <c r="U79" s="30" t="s">
        <v>180</v>
      </c>
      <c r="V79" s="31" t="s">
        <v>41</v>
      </c>
      <c r="W79" s="31" t="s">
        <v>44</v>
      </c>
    </row>
    <row r="80" spans="2:32">
      <c r="B80" s="32" t="s">
        <v>233</v>
      </c>
      <c r="C80" s="33">
        <v>31190000</v>
      </c>
      <c r="D80" s="32">
        <v>2</v>
      </c>
      <c r="E80" s="33">
        <f t="shared" ref="E80:E88" si="37">+C80*D80</f>
        <v>62380000</v>
      </c>
      <c r="F80" s="33">
        <v>30080000</v>
      </c>
      <c r="G80" s="32">
        <v>1</v>
      </c>
      <c r="H80" s="33">
        <f t="shared" ref="H80:H88" si="38">+F80*G80</f>
        <v>30080000</v>
      </c>
      <c r="I80" s="33">
        <v>33480000</v>
      </c>
      <c r="J80" s="32">
        <v>1</v>
      </c>
      <c r="K80" s="33">
        <f t="shared" ref="K80:K88" si="39">+I80*J80</f>
        <v>33480000</v>
      </c>
      <c r="N80" s="32" t="s">
        <v>233</v>
      </c>
      <c r="O80" s="33"/>
      <c r="P80" s="32"/>
      <c r="Q80" s="33">
        <f t="shared" ref="Q80:Q88" si="40">+O80*P80</f>
        <v>0</v>
      </c>
      <c r="R80" s="33"/>
      <c r="S80" s="32"/>
      <c r="T80" s="33">
        <f t="shared" ref="T80:T88" si="41">+R80*S80</f>
        <v>0</v>
      </c>
      <c r="U80" s="33"/>
      <c r="V80" s="32"/>
      <c r="W80" s="33">
        <f t="shared" ref="W80:W88" si="42">+U80*V80</f>
        <v>0</v>
      </c>
    </row>
    <row r="81" spans="2:24">
      <c r="B81" s="32" t="s">
        <v>234</v>
      </c>
      <c r="C81" s="33">
        <v>7442417</v>
      </c>
      <c r="D81" s="32">
        <v>2</v>
      </c>
      <c r="E81" s="33">
        <f t="shared" si="37"/>
        <v>14884834</v>
      </c>
      <c r="F81" s="33">
        <v>13361868</v>
      </c>
      <c r="G81" s="32">
        <v>1</v>
      </c>
      <c r="H81" s="33">
        <f t="shared" si="38"/>
        <v>13361868</v>
      </c>
      <c r="I81" s="33">
        <v>10598868</v>
      </c>
      <c r="J81" s="32">
        <v>1</v>
      </c>
      <c r="K81" s="33">
        <f t="shared" si="39"/>
        <v>10598868</v>
      </c>
      <c r="N81" s="32" t="s">
        <v>234</v>
      </c>
      <c r="O81" s="33"/>
      <c r="P81" s="32"/>
      <c r="Q81" s="33">
        <f t="shared" si="40"/>
        <v>0</v>
      </c>
      <c r="R81" s="33"/>
      <c r="S81" s="32"/>
      <c r="T81" s="33">
        <f t="shared" si="41"/>
        <v>0</v>
      </c>
      <c r="U81" s="33"/>
      <c r="V81" s="32"/>
      <c r="W81" s="33">
        <f t="shared" si="42"/>
        <v>0</v>
      </c>
    </row>
    <row r="82" spans="2:24">
      <c r="B82" s="32" t="s">
        <v>235</v>
      </c>
      <c r="C82" s="33">
        <v>6600</v>
      </c>
      <c r="D82" s="32">
        <v>0</v>
      </c>
      <c r="E82" s="33">
        <f t="shared" si="37"/>
        <v>0</v>
      </c>
      <c r="F82" s="33">
        <v>5700</v>
      </c>
      <c r="G82" s="32">
        <v>0</v>
      </c>
      <c r="H82" s="33">
        <f t="shared" si="38"/>
        <v>0</v>
      </c>
      <c r="I82" s="33">
        <v>5700</v>
      </c>
      <c r="J82" s="32">
        <v>0</v>
      </c>
      <c r="K82" s="33">
        <f t="shared" si="39"/>
        <v>0</v>
      </c>
      <c r="N82" s="32" t="s">
        <v>235</v>
      </c>
      <c r="O82" s="33"/>
      <c r="P82" s="32"/>
      <c r="Q82" s="33">
        <f t="shared" si="40"/>
        <v>0</v>
      </c>
      <c r="R82" s="33"/>
      <c r="S82" s="32"/>
      <c r="T82" s="33">
        <f t="shared" si="41"/>
        <v>0</v>
      </c>
      <c r="U82" s="33"/>
      <c r="V82" s="32"/>
      <c r="W82" s="33">
        <f t="shared" si="42"/>
        <v>0</v>
      </c>
    </row>
    <row r="83" spans="2:24">
      <c r="B83" s="32" t="s">
        <v>236</v>
      </c>
      <c r="C83" s="33">
        <v>80300</v>
      </c>
      <c r="D83" s="32">
        <v>8</v>
      </c>
      <c r="E83" s="33">
        <f t="shared" si="37"/>
        <v>642400</v>
      </c>
      <c r="F83" s="33">
        <v>80300</v>
      </c>
      <c r="G83" s="32">
        <v>84</v>
      </c>
      <c r="H83" s="33">
        <f t="shared" si="38"/>
        <v>6745200</v>
      </c>
      <c r="I83" s="33">
        <v>80300</v>
      </c>
      <c r="J83" s="32">
        <v>72</v>
      </c>
      <c r="K83" s="33">
        <f t="shared" si="39"/>
        <v>5781600</v>
      </c>
      <c r="N83" s="32" t="s">
        <v>236</v>
      </c>
      <c r="O83" s="33"/>
      <c r="P83" s="32"/>
      <c r="Q83" s="33">
        <f t="shared" si="40"/>
        <v>0</v>
      </c>
      <c r="R83" s="33"/>
      <c r="S83" s="32"/>
      <c r="T83" s="33">
        <f t="shared" si="41"/>
        <v>0</v>
      </c>
      <c r="U83" s="33"/>
      <c r="V83" s="32"/>
      <c r="W83" s="33">
        <f t="shared" si="42"/>
        <v>0</v>
      </c>
    </row>
    <row r="84" spans="2:24">
      <c r="B84" s="32" t="s">
        <v>237</v>
      </c>
      <c r="C84" s="33">
        <v>1000000</v>
      </c>
      <c r="D84" s="32">
        <v>6</v>
      </c>
      <c r="E84" s="33">
        <f t="shared" si="37"/>
        <v>6000000</v>
      </c>
      <c r="F84" s="33">
        <v>1100000</v>
      </c>
      <c r="G84" s="32">
        <v>4</v>
      </c>
      <c r="H84" s="33">
        <f t="shared" si="38"/>
        <v>4400000</v>
      </c>
      <c r="I84" s="33">
        <v>1100000</v>
      </c>
      <c r="J84" s="32">
        <v>5</v>
      </c>
      <c r="K84" s="33">
        <f t="shared" si="39"/>
        <v>5500000</v>
      </c>
      <c r="N84" s="32" t="s">
        <v>237</v>
      </c>
      <c r="O84" s="33"/>
      <c r="P84" s="32"/>
      <c r="Q84" s="33">
        <f t="shared" si="40"/>
        <v>0</v>
      </c>
      <c r="R84" s="33"/>
      <c r="S84" s="32"/>
      <c r="T84" s="33">
        <f t="shared" si="41"/>
        <v>0</v>
      </c>
      <c r="U84" s="33"/>
      <c r="V84" s="32"/>
      <c r="W84" s="33">
        <f t="shared" si="42"/>
        <v>0</v>
      </c>
    </row>
    <row r="85" spans="2:24">
      <c r="B85" s="32" t="s">
        <v>238</v>
      </c>
      <c r="C85" s="33">
        <v>500000</v>
      </c>
      <c r="D85" s="32">
        <v>0</v>
      </c>
      <c r="E85" s="33">
        <f t="shared" si="37"/>
        <v>0</v>
      </c>
      <c r="F85" s="33">
        <v>550000</v>
      </c>
      <c r="G85" s="32">
        <v>0</v>
      </c>
      <c r="H85" s="33">
        <f t="shared" si="38"/>
        <v>0</v>
      </c>
      <c r="I85" s="33">
        <v>550000</v>
      </c>
      <c r="J85" s="32">
        <v>0</v>
      </c>
      <c r="K85" s="33">
        <f t="shared" si="39"/>
        <v>0</v>
      </c>
      <c r="N85" s="32" t="s">
        <v>238</v>
      </c>
      <c r="O85" s="33"/>
      <c r="P85" s="32"/>
      <c r="Q85" s="33">
        <f t="shared" si="40"/>
        <v>0</v>
      </c>
      <c r="R85" s="33"/>
      <c r="S85" s="32"/>
      <c r="T85" s="33">
        <f t="shared" si="41"/>
        <v>0</v>
      </c>
      <c r="U85" s="33"/>
      <c r="V85" s="32"/>
      <c r="W85" s="33">
        <f t="shared" si="42"/>
        <v>0</v>
      </c>
    </row>
    <row r="86" spans="2:24">
      <c r="B86" s="32" t="s">
        <v>239</v>
      </c>
      <c r="C86" s="33">
        <v>420000</v>
      </c>
      <c r="D86" s="32">
        <v>0</v>
      </c>
      <c r="E86" s="33">
        <f t="shared" si="37"/>
        <v>0</v>
      </c>
      <c r="F86" s="33">
        <v>420000</v>
      </c>
      <c r="G86" s="32">
        <v>0</v>
      </c>
      <c r="H86" s="33">
        <f t="shared" si="38"/>
        <v>0</v>
      </c>
      <c r="I86" s="33">
        <v>420000</v>
      </c>
      <c r="J86" s="32">
        <v>0</v>
      </c>
      <c r="K86" s="33">
        <f t="shared" si="39"/>
        <v>0</v>
      </c>
      <c r="N86" s="32" t="s">
        <v>239</v>
      </c>
      <c r="O86" s="33"/>
      <c r="P86" s="32"/>
      <c r="Q86" s="33">
        <f t="shared" si="40"/>
        <v>0</v>
      </c>
      <c r="R86" s="33"/>
      <c r="S86" s="32"/>
      <c r="T86" s="33">
        <f t="shared" si="41"/>
        <v>0</v>
      </c>
      <c r="U86" s="33"/>
      <c r="V86" s="32"/>
      <c r="W86" s="33">
        <f t="shared" si="42"/>
        <v>0</v>
      </c>
    </row>
    <row r="87" spans="2:24">
      <c r="B87" s="32" t="s">
        <v>240</v>
      </c>
      <c r="C87" s="33">
        <v>450000</v>
      </c>
      <c r="D87" s="32">
        <v>0</v>
      </c>
      <c r="E87" s="33">
        <f t="shared" si="37"/>
        <v>0</v>
      </c>
      <c r="F87" s="33">
        <v>450000</v>
      </c>
      <c r="G87" s="32">
        <v>0</v>
      </c>
      <c r="H87" s="33">
        <f t="shared" si="38"/>
        <v>0</v>
      </c>
      <c r="I87" s="33">
        <v>450000</v>
      </c>
      <c r="J87" s="32">
        <v>0</v>
      </c>
      <c r="K87" s="33">
        <f t="shared" si="39"/>
        <v>0</v>
      </c>
      <c r="N87" s="32" t="s">
        <v>240</v>
      </c>
      <c r="O87" s="33"/>
      <c r="P87" s="32"/>
      <c r="Q87" s="33">
        <f t="shared" si="40"/>
        <v>0</v>
      </c>
      <c r="R87" s="33"/>
      <c r="S87" s="32"/>
      <c r="T87" s="33">
        <f t="shared" si="41"/>
        <v>0</v>
      </c>
      <c r="U87" s="33"/>
      <c r="V87" s="32"/>
      <c r="W87" s="33">
        <f t="shared" si="42"/>
        <v>0</v>
      </c>
    </row>
    <row r="88" spans="2:24">
      <c r="B88" s="32" t="s">
        <v>183</v>
      </c>
      <c r="C88" s="33">
        <v>5700</v>
      </c>
      <c r="D88" s="32">
        <v>43</v>
      </c>
      <c r="E88" s="33">
        <f t="shared" si="37"/>
        <v>245100</v>
      </c>
      <c r="F88" s="33">
        <v>5700</v>
      </c>
      <c r="G88" s="32">
        <v>1909</v>
      </c>
      <c r="H88" s="33">
        <f t="shared" si="38"/>
        <v>10881300</v>
      </c>
      <c r="I88" s="33">
        <v>5700</v>
      </c>
      <c r="J88" s="32">
        <v>1695</v>
      </c>
      <c r="K88" s="33">
        <f t="shared" si="39"/>
        <v>9661500</v>
      </c>
      <c r="L88" s="56"/>
      <c r="N88" s="32" t="s">
        <v>241</v>
      </c>
      <c r="O88" s="33"/>
      <c r="P88" s="32"/>
      <c r="Q88" s="33">
        <f t="shared" si="40"/>
        <v>0</v>
      </c>
      <c r="R88" s="33"/>
      <c r="S88" s="32"/>
      <c r="T88" s="33">
        <f t="shared" si="41"/>
        <v>0</v>
      </c>
      <c r="U88" s="33"/>
      <c r="V88" s="32"/>
      <c r="W88" s="33">
        <f t="shared" si="42"/>
        <v>0</v>
      </c>
    </row>
    <row r="89" spans="2:24" s="2" customFormat="1">
      <c r="B89" s="35"/>
      <c r="C89" s="35"/>
      <c r="D89" s="31" t="s">
        <v>48</v>
      </c>
      <c r="E89" s="36">
        <f>SUM(E80:E88)</f>
        <v>84152334</v>
      </c>
      <c r="F89" s="35"/>
      <c r="G89" s="31" t="s">
        <v>48</v>
      </c>
      <c r="H89" s="36">
        <f>SUM(H80:H88)</f>
        <v>65468368</v>
      </c>
      <c r="I89" s="35"/>
      <c r="J89" s="31" t="s">
        <v>48</v>
      </c>
      <c r="K89" s="36">
        <f>SUM(K80:K88)</f>
        <v>65021968</v>
      </c>
      <c r="N89" s="35"/>
      <c r="O89" s="35"/>
      <c r="P89" s="31" t="s">
        <v>48</v>
      </c>
      <c r="Q89" s="36">
        <f>SUM(Q80:Q88)</f>
        <v>0</v>
      </c>
      <c r="R89" s="35"/>
      <c r="S89" s="31" t="s">
        <v>48</v>
      </c>
      <c r="T89" s="51">
        <f>SUM(T80:T88)</f>
        <v>0</v>
      </c>
      <c r="U89" s="35"/>
      <c r="V89" s="31" t="s">
        <v>48</v>
      </c>
      <c r="W89" s="36">
        <f>SUM(W80:W88)</f>
        <v>0</v>
      </c>
    </row>
    <row r="90" spans="2:24">
      <c r="K90" s="49"/>
      <c r="W90" s="49">
        <f>(Q15+T15+W15)/3</f>
        <v>333396510.71031743</v>
      </c>
    </row>
    <row r="91" spans="2:24">
      <c r="B91" s="41" t="s">
        <v>227</v>
      </c>
      <c r="C91" s="29" t="s">
        <v>312</v>
      </c>
      <c r="F91" s="29" t="s">
        <v>309</v>
      </c>
      <c r="I91" s="29" t="s">
        <v>313</v>
      </c>
      <c r="N91" s="32"/>
      <c r="O91" s="58" t="s">
        <v>212</v>
      </c>
      <c r="P91" s="32"/>
      <c r="Q91" s="58" t="s">
        <v>314</v>
      </c>
      <c r="W91" s="49"/>
    </row>
    <row r="92" spans="2:24">
      <c r="B92" s="379" t="s">
        <v>315</v>
      </c>
      <c r="C92" s="330" t="s">
        <v>324</v>
      </c>
      <c r="D92" s="331"/>
      <c r="E92" s="332"/>
      <c r="F92" s="330" t="s">
        <v>317</v>
      </c>
      <c r="G92" s="331"/>
      <c r="H92" s="332"/>
      <c r="I92" s="377" t="s">
        <v>318</v>
      </c>
      <c r="J92" s="377"/>
      <c r="K92" s="377"/>
      <c r="L92" s="69"/>
      <c r="M92" s="69"/>
      <c r="N92" s="83" t="s">
        <v>97</v>
      </c>
      <c r="O92" s="84">
        <f>SUM($E$45,$E$59,E103,$H$45,$H$59,H103,$K$45,$K$59,K103)/47</f>
        <v>52142855.981509626</v>
      </c>
      <c r="P92" s="83"/>
      <c r="Q92" s="90">
        <f>SUM($Q$45,$Q$73,E103,$T$45,$T$73,H103,$W$45,$W$73,K103)/47</f>
        <v>45601409.172998987</v>
      </c>
      <c r="R92" s="38"/>
      <c r="S92" s="38"/>
      <c r="T92" s="38"/>
      <c r="U92" s="38"/>
      <c r="V92" s="69"/>
      <c r="W92" s="69"/>
      <c r="X92" s="69"/>
    </row>
    <row r="93" spans="2:24">
      <c r="B93" s="380"/>
      <c r="C93" s="30" t="s">
        <v>180</v>
      </c>
      <c r="D93" s="31" t="s">
        <v>41</v>
      </c>
      <c r="E93" s="31" t="s">
        <v>44</v>
      </c>
      <c r="F93" s="30" t="s">
        <v>180</v>
      </c>
      <c r="G93" s="31" t="s">
        <v>41</v>
      </c>
      <c r="H93" s="31" t="s">
        <v>44</v>
      </c>
      <c r="I93" s="30" t="s">
        <v>180</v>
      </c>
      <c r="J93" s="31" t="s">
        <v>41</v>
      </c>
      <c r="K93" s="31" t="s">
        <v>44</v>
      </c>
      <c r="L93" s="70"/>
      <c r="M93" s="42"/>
      <c r="N93" s="85" t="s">
        <v>98</v>
      </c>
      <c r="O93" s="84">
        <f>SUM($E$45,$E$59,E118,$H$45,$H$59,H118,$K$45,$K$59,K118)/47</f>
        <v>52069451.726190478</v>
      </c>
      <c r="P93" s="31"/>
      <c r="Q93" s="90">
        <f>SUM($Q$45,$Q$73,E118,$T$45,$T$73,H118,$W$45,$W$73,K118)/47</f>
        <v>45528004.917679839</v>
      </c>
      <c r="R93" s="38"/>
      <c r="S93" s="38"/>
      <c r="T93" s="71"/>
      <c r="U93" s="38"/>
      <c r="V93" s="70"/>
      <c r="W93" s="42"/>
      <c r="X93" s="42"/>
    </row>
    <row r="94" spans="2:24">
      <c r="B94" s="32" t="s">
        <v>233</v>
      </c>
      <c r="C94" s="82">
        <v>31384000</v>
      </c>
      <c r="D94" s="32">
        <v>2</v>
      </c>
      <c r="E94" s="33">
        <f t="shared" ref="E94:E102" si="43">+C94*D94</f>
        <v>62768000</v>
      </c>
      <c r="F94" s="33">
        <v>31913000</v>
      </c>
      <c r="G94" s="32">
        <v>1</v>
      </c>
      <c r="H94" s="33">
        <f t="shared" ref="H94:H102" si="44">+F94*G94</f>
        <v>31913000</v>
      </c>
      <c r="I94" s="33">
        <v>33063000</v>
      </c>
      <c r="J94" s="32">
        <v>1</v>
      </c>
      <c r="K94" s="33">
        <f t="shared" ref="K94:K102" si="45">+I94*J94</f>
        <v>33063000</v>
      </c>
      <c r="L94" s="71"/>
      <c r="M94" s="38"/>
      <c r="N94" s="71"/>
      <c r="O94" s="71"/>
      <c r="P94" s="38"/>
      <c r="Q94" s="71"/>
      <c r="R94" s="38"/>
      <c r="S94" s="38"/>
      <c r="T94" s="71"/>
      <c r="U94" s="38"/>
      <c r="V94" s="69"/>
      <c r="W94" s="69"/>
      <c r="X94" s="69"/>
    </row>
    <row r="95" spans="2:24">
      <c r="B95" s="32" t="s">
        <v>234</v>
      </c>
      <c r="C95" s="33">
        <v>6355000</v>
      </c>
      <c r="D95" s="32">
        <v>2</v>
      </c>
      <c r="E95" s="33">
        <f t="shared" si="43"/>
        <v>12710000</v>
      </c>
      <c r="F95" s="33">
        <v>12434000</v>
      </c>
      <c r="G95" s="32">
        <v>1</v>
      </c>
      <c r="H95" s="33">
        <f t="shared" si="44"/>
        <v>12434000</v>
      </c>
      <c r="I95" s="33">
        <v>8565000</v>
      </c>
      <c r="J95" s="32">
        <v>1</v>
      </c>
      <c r="K95" s="33">
        <f t="shared" si="45"/>
        <v>8565000</v>
      </c>
      <c r="L95" s="71"/>
      <c r="M95" s="38"/>
      <c r="N95" s="71"/>
      <c r="O95" s="71"/>
      <c r="P95" s="38"/>
      <c r="Q95" s="71"/>
      <c r="R95" s="38"/>
      <c r="S95" s="38"/>
      <c r="T95" s="71"/>
      <c r="U95" s="38"/>
      <c r="V95" s="71"/>
      <c r="W95" s="38"/>
      <c r="X95" s="71"/>
    </row>
    <row r="96" spans="2:24">
      <c r="B96" s="32" t="s">
        <v>235</v>
      </c>
      <c r="C96" s="33">
        <v>4300</v>
      </c>
      <c r="D96" s="32">
        <v>0</v>
      </c>
      <c r="E96" s="33">
        <f t="shared" si="43"/>
        <v>0</v>
      </c>
      <c r="F96" s="33">
        <v>4300</v>
      </c>
      <c r="G96" s="32">
        <v>0</v>
      </c>
      <c r="H96" s="33">
        <f t="shared" si="44"/>
        <v>0</v>
      </c>
      <c r="I96" s="33">
        <v>4300</v>
      </c>
      <c r="J96" s="32">
        <v>0</v>
      </c>
      <c r="K96" s="33">
        <f t="shared" si="45"/>
        <v>0</v>
      </c>
      <c r="L96" s="71"/>
      <c r="M96" s="38"/>
      <c r="N96" s="71"/>
      <c r="O96" s="71"/>
      <c r="P96" s="38"/>
      <c r="Q96" s="71"/>
      <c r="R96" s="38"/>
      <c r="S96" s="38"/>
      <c r="T96" s="71"/>
      <c r="U96" s="38"/>
      <c r="V96" s="71"/>
      <c r="W96" s="38"/>
      <c r="X96" s="71"/>
    </row>
    <row r="97" spans="2:24">
      <c r="B97" s="32" t="s">
        <v>236</v>
      </c>
      <c r="C97" s="33">
        <v>80300</v>
      </c>
      <c r="D97" s="32">
        <v>8</v>
      </c>
      <c r="E97" s="33">
        <f t="shared" si="43"/>
        <v>642400</v>
      </c>
      <c r="F97" s="33">
        <v>80300</v>
      </c>
      <c r="G97" s="32">
        <f>84-22</f>
        <v>62</v>
      </c>
      <c r="H97" s="33">
        <f t="shared" si="44"/>
        <v>4978600</v>
      </c>
      <c r="I97" s="33">
        <v>80300</v>
      </c>
      <c r="J97" s="32">
        <v>50</v>
      </c>
      <c r="K97" s="33">
        <f t="shared" si="45"/>
        <v>4015000</v>
      </c>
      <c r="L97" s="71"/>
      <c r="M97" s="38"/>
      <c r="N97" t="s">
        <v>15</v>
      </c>
      <c r="O97" t="s">
        <v>17</v>
      </c>
      <c r="P97" s="38"/>
      <c r="Q97" s="71"/>
      <c r="R97" s="38"/>
      <c r="S97" s="38"/>
      <c r="T97" s="71"/>
      <c r="U97" s="38"/>
      <c r="V97" s="71"/>
      <c r="W97" s="38"/>
      <c r="X97" s="71"/>
    </row>
    <row r="98" spans="2:24">
      <c r="B98" s="32" t="s">
        <v>237</v>
      </c>
      <c r="C98" s="33">
        <v>1100000</v>
      </c>
      <c r="D98" s="32">
        <v>6</v>
      </c>
      <c r="E98" s="33">
        <f t="shared" si="43"/>
        <v>6600000</v>
      </c>
      <c r="F98" s="33">
        <v>1100000</v>
      </c>
      <c r="G98" s="32">
        <v>4</v>
      </c>
      <c r="H98" s="33">
        <f t="shared" si="44"/>
        <v>4400000</v>
      </c>
      <c r="I98" s="33">
        <v>1100000</v>
      </c>
      <c r="J98" s="32">
        <v>5</v>
      </c>
      <c r="K98" s="33">
        <f t="shared" si="45"/>
        <v>5500000</v>
      </c>
      <c r="L98" s="71"/>
      <c r="M98" s="38"/>
      <c r="N98" s="86">
        <v>2.8472222222222201E-2</v>
      </c>
      <c r="O98" s="86">
        <v>1.52777777777778E-2</v>
      </c>
      <c r="P98" s="38"/>
      <c r="Q98" s="71"/>
      <c r="R98" s="38"/>
      <c r="S98" s="38"/>
      <c r="T98" s="71"/>
      <c r="U98" s="38"/>
      <c r="V98" s="71"/>
      <c r="W98" s="38"/>
      <c r="X98" s="71"/>
    </row>
    <row r="99" spans="2:24">
      <c r="B99" s="32" t="s">
        <v>238</v>
      </c>
      <c r="C99" s="33">
        <v>550000</v>
      </c>
      <c r="D99" s="32">
        <v>0</v>
      </c>
      <c r="E99" s="33">
        <f t="shared" si="43"/>
        <v>0</v>
      </c>
      <c r="F99" s="33">
        <v>550000</v>
      </c>
      <c r="G99" s="32">
        <v>0</v>
      </c>
      <c r="H99" s="33">
        <f t="shared" si="44"/>
        <v>0</v>
      </c>
      <c r="I99" s="33">
        <v>550000</v>
      </c>
      <c r="J99" s="32">
        <v>0</v>
      </c>
      <c r="K99" s="33">
        <f t="shared" si="45"/>
        <v>0</v>
      </c>
      <c r="L99" s="71"/>
      <c r="M99" s="38"/>
      <c r="N99" s="86">
        <v>4.72222222222222E-2</v>
      </c>
      <c r="O99" s="86">
        <v>2.5000000000000001E-2</v>
      </c>
      <c r="P99" s="38"/>
      <c r="Q99" s="71"/>
      <c r="R99" s="38"/>
      <c r="S99" s="91"/>
      <c r="T99" s="92"/>
      <c r="U99" s="38"/>
      <c r="V99" s="71"/>
      <c r="W99" s="38"/>
      <c r="X99" s="71"/>
    </row>
    <row r="100" spans="2:24">
      <c r="B100" s="32" t="s">
        <v>239</v>
      </c>
      <c r="C100" s="33">
        <v>420000</v>
      </c>
      <c r="D100" s="32">
        <v>0</v>
      </c>
      <c r="E100" s="33">
        <f t="shared" si="43"/>
        <v>0</v>
      </c>
      <c r="F100" s="33">
        <v>420000</v>
      </c>
      <c r="G100" s="32">
        <v>0</v>
      </c>
      <c r="H100" s="33">
        <f t="shared" si="44"/>
        <v>0</v>
      </c>
      <c r="I100" s="33">
        <v>420000</v>
      </c>
      <c r="J100" s="32">
        <v>0</v>
      </c>
      <c r="K100" s="33">
        <f t="shared" si="45"/>
        <v>0</v>
      </c>
      <c r="L100" s="71"/>
      <c r="M100" s="38"/>
      <c r="N100" s="86">
        <v>3.6805555555555501E-2</v>
      </c>
      <c r="O100"/>
      <c r="P100" s="38"/>
      <c r="Q100" s="71"/>
      <c r="R100" s="38"/>
      <c r="S100" s="38"/>
      <c r="T100" s="38"/>
      <c r="U100" s="38"/>
      <c r="V100" s="71"/>
      <c r="W100" s="38"/>
      <c r="X100" s="71"/>
    </row>
    <row r="101" spans="2:24">
      <c r="B101" s="32" t="s">
        <v>240</v>
      </c>
      <c r="C101" s="33">
        <v>450000</v>
      </c>
      <c r="D101" s="32">
        <v>0</v>
      </c>
      <c r="E101" s="33">
        <f t="shared" si="43"/>
        <v>0</v>
      </c>
      <c r="F101" s="33">
        <v>450000</v>
      </c>
      <c r="G101" s="32">
        <v>0</v>
      </c>
      <c r="H101" s="33">
        <f t="shared" si="44"/>
        <v>0</v>
      </c>
      <c r="I101" s="33">
        <v>450000</v>
      </c>
      <c r="J101" s="32">
        <v>0</v>
      </c>
      <c r="K101" s="33">
        <f t="shared" si="45"/>
        <v>0</v>
      </c>
      <c r="L101" s="71"/>
      <c r="M101" s="38"/>
      <c r="N101" s="86">
        <v>0.05</v>
      </c>
      <c r="O101"/>
      <c r="P101" s="38"/>
      <c r="Q101" s="71"/>
      <c r="R101" s="38"/>
      <c r="S101" s="38"/>
      <c r="T101" s="38"/>
      <c r="U101" s="38"/>
      <c r="V101" s="71"/>
      <c r="W101" s="38"/>
      <c r="X101" s="71"/>
    </row>
    <row r="102" spans="2:24">
      <c r="B102" s="32" t="s">
        <v>183</v>
      </c>
      <c r="C102" s="33">
        <v>5700</v>
      </c>
      <c r="D102" s="32">
        <v>0</v>
      </c>
      <c r="E102" s="33">
        <f t="shared" si="43"/>
        <v>0</v>
      </c>
      <c r="F102" s="33">
        <v>5700</v>
      </c>
      <c r="G102" s="32">
        <v>0</v>
      </c>
      <c r="H102" s="33">
        <f t="shared" si="44"/>
        <v>0</v>
      </c>
      <c r="I102" s="33">
        <v>5700</v>
      </c>
      <c r="J102" s="32">
        <v>0</v>
      </c>
      <c r="K102" s="33">
        <f t="shared" si="45"/>
        <v>0</v>
      </c>
      <c r="L102" s="71"/>
      <c r="M102" s="38"/>
      <c r="N102" s="87">
        <f>SUM(N98:N101)</f>
        <v>0.16249999999999992</v>
      </c>
      <c r="O102" s="87">
        <f>SUM(O98:O101)</f>
        <v>4.0277777777777801E-2</v>
      </c>
      <c r="P102" s="38"/>
      <c r="Q102" s="71"/>
      <c r="R102" s="38"/>
      <c r="S102" s="38"/>
      <c r="T102" s="38"/>
      <c r="U102" s="38"/>
      <c r="V102" s="71"/>
      <c r="W102" s="38"/>
      <c r="X102" s="71"/>
    </row>
    <row r="103" spans="2:24" s="2" customFormat="1">
      <c r="B103" s="35"/>
      <c r="C103" s="35"/>
      <c r="D103" s="31" t="s">
        <v>48</v>
      </c>
      <c r="E103" s="36">
        <f>SUM(E94:E102)</f>
        <v>82720400</v>
      </c>
      <c r="F103" s="35"/>
      <c r="G103" s="31" t="s">
        <v>48</v>
      </c>
      <c r="H103" s="36">
        <f>SUM(H94:H102)</f>
        <v>53725600</v>
      </c>
      <c r="I103" s="35"/>
      <c r="J103" s="31" t="s">
        <v>48</v>
      </c>
      <c r="K103" s="36">
        <f>SUM(K94:K102)</f>
        <v>51143000</v>
      </c>
      <c r="L103" s="41">
        <v>31500000</v>
      </c>
      <c r="M103" s="42">
        <v>29770000</v>
      </c>
      <c r="N103" s="88">
        <f>CONVERT(N102,"day","hr")</f>
        <v>3.8999999999999981</v>
      </c>
      <c r="O103" s="88">
        <f>CONVERT(O102,"day","hr")</f>
        <v>0.96666666666666712</v>
      </c>
      <c r="P103" s="42"/>
      <c r="Q103" s="43"/>
      <c r="R103" s="38"/>
      <c r="S103" s="38"/>
      <c r="T103" s="38"/>
      <c r="U103" s="38"/>
      <c r="V103" s="41"/>
      <c r="W103" s="42"/>
      <c r="X103" s="43"/>
    </row>
    <row r="104" spans="2:24">
      <c r="K104" s="49"/>
      <c r="L104" s="38"/>
      <c r="M104" s="38"/>
      <c r="N104" s="88">
        <f>N103*22</f>
        <v>85.799999999999955</v>
      </c>
      <c r="O104" s="88">
        <f>O103*22</f>
        <v>21.266666666666676</v>
      </c>
      <c r="P104" s="38"/>
      <c r="Q104" s="38"/>
      <c r="R104" s="38"/>
      <c r="S104" s="38"/>
      <c r="T104" s="38"/>
      <c r="U104" s="38"/>
      <c r="V104" s="38"/>
      <c r="W104" s="93"/>
      <c r="X104" s="38"/>
    </row>
    <row r="105" spans="2:24">
      <c r="K105" s="49"/>
      <c r="L105" s="56">
        <f>+C124-L103</f>
        <v>-116000</v>
      </c>
      <c r="M105" s="56">
        <f>+F124-M103</f>
        <v>143000</v>
      </c>
      <c r="W105" s="49"/>
    </row>
    <row r="106" spans="2:24">
      <c r="B106" s="2" t="s">
        <v>230</v>
      </c>
      <c r="C106" s="29" t="s">
        <v>312</v>
      </c>
      <c r="F106" s="29" t="s">
        <v>309</v>
      </c>
      <c r="I106" s="29" t="s">
        <v>313</v>
      </c>
      <c r="L106" s="56">
        <f>+I124-I80</f>
        <v>-2417000</v>
      </c>
      <c r="W106" s="49"/>
    </row>
    <row r="107" spans="2:24">
      <c r="B107" s="379" t="s">
        <v>315</v>
      </c>
      <c r="C107" s="327" t="s">
        <v>325</v>
      </c>
      <c r="D107" s="328"/>
      <c r="E107" s="329"/>
      <c r="F107" s="330" t="s">
        <v>317</v>
      </c>
      <c r="G107" s="331"/>
      <c r="H107" s="332"/>
      <c r="I107" s="377" t="s">
        <v>318</v>
      </c>
      <c r="J107" s="377"/>
      <c r="K107" s="377"/>
      <c r="L107" s="378"/>
      <c r="M107" s="378"/>
      <c r="N107" s="378"/>
      <c r="O107" s="378"/>
      <c r="P107" s="378"/>
      <c r="Q107" s="378"/>
      <c r="R107" s="38"/>
      <c r="S107" s="38"/>
      <c r="T107" s="38"/>
      <c r="U107" s="38"/>
      <c r="V107" s="69"/>
      <c r="W107" s="69"/>
      <c r="X107" s="69"/>
    </row>
    <row r="108" spans="2:24">
      <c r="B108" s="380"/>
      <c r="C108" s="30" t="s">
        <v>180</v>
      </c>
      <c r="D108" s="31" t="s">
        <v>41</v>
      </c>
      <c r="E108" s="31" t="s">
        <v>44</v>
      </c>
      <c r="F108" s="30" t="s">
        <v>180</v>
      </c>
      <c r="G108" s="31" t="s">
        <v>41</v>
      </c>
      <c r="H108" s="31" t="s">
        <v>44</v>
      </c>
      <c r="I108" s="30" t="s">
        <v>180</v>
      </c>
      <c r="J108" s="31" t="s">
        <v>41</v>
      </c>
      <c r="K108" s="31" t="s">
        <v>44</v>
      </c>
      <c r="L108" s="70"/>
      <c r="M108" s="42"/>
      <c r="N108" s="42"/>
      <c r="O108" s="70"/>
      <c r="P108" s="42"/>
      <c r="Q108" s="42"/>
      <c r="R108" s="38"/>
      <c r="S108" s="38"/>
      <c r="T108" s="71"/>
      <c r="U108" s="38"/>
      <c r="V108" s="70"/>
      <c r="W108" s="42"/>
      <c r="X108" s="42"/>
    </row>
    <row r="109" spans="2:24">
      <c r="B109" s="32" t="s">
        <v>233</v>
      </c>
      <c r="C109" s="66">
        <v>31384000</v>
      </c>
      <c r="D109" s="32">
        <v>2</v>
      </c>
      <c r="E109" s="33">
        <f t="shared" ref="E109:E117" si="46">+C109*D109</f>
        <v>62768000</v>
      </c>
      <c r="F109" s="33">
        <v>31913000</v>
      </c>
      <c r="G109" s="32">
        <v>1</v>
      </c>
      <c r="H109" s="33">
        <f t="shared" ref="H109:H117" si="47">+F109*G109</f>
        <v>31913000</v>
      </c>
      <c r="I109" s="33">
        <v>33063000</v>
      </c>
      <c r="J109" s="32">
        <v>1</v>
      </c>
      <c r="K109" s="33">
        <f t="shared" ref="K109:K117" si="48">+I109*J109</f>
        <v>33063000</v>
      </c>
      <c r="L109" s="71"/>
      <c r="M109" s="38"/>
      <c r="N109" s="71"/>
      <c r="O109" s="71"/>
      <c r="P109" s="38"/>
      <c r="Q109" s="71"/>
      <c r="R109" s="38"/>
      <c r="S109" s="38"/>
      <c r="T109" s="71"/>
      <c r="U109" s="38"/>
      <c r="V109" s="69"/>
      <c r="W109" s="69"/>
      <c r="X109" s="69"/>
    </row>
    <row r="110" spans="2:24">
      <c r="B110" s="32" t="s">
        <v>234</v>
      </c>
      <c r="C110" s="33">
        <v>6355000</v>
      </c>
      <c r="D110" s="32">
        <v>2</v>
      </c>
      <c r="E110" s="33">
        <f t="shared" si="46"/>
        <v>12710000</v>
      </c>
      <c r="F110" s="33">
        <v>12434000</v>
      </c>
      <c r="G110" s="32">
        <v>1</v>
      </c>
      <c r="H110" s="33">
        <f t="shared" si="47"/>
        <v>12434000</v>
      </c>
      <c r="I110" s="33">
        <v>8565000</v>
      </c>
      <c r="J110" s="32">
        <v>1</v>
      </c>
      <c r="K110" s="33">
        <f t="shared" si="48"/>
        <v>8565000</v>
      </c>
      <c r="L110" s="71"/>
      <c r="M110" s="38">
        <v>33790000</v>
      </c>
      <c r="N110" s="71"/>
      <c r="O110" s="71"/>
      <c r="P110" s="38"/>
      <c r="Q110" s="71"/>
      <c r="R110" s="38"/>
      <c r="S110" s="38"/>
      <c r="T110" s="71"/>
      <c r="U110" s="38"/>
      <c r="V110" s="71"/>
      <c r="W110" s="38"/>
      <c r="X110" s="71"/>
    </row>
    <row r="111" spans="2:24">
      <c r="B111" s="32" t="s">
        <v>235</v>
      </c>
      <c r="C111" s="33">
        <v>4300</v>
      </c>
      <c r="D111" s="32">
        <v>0</v>
      </c>
      <c r="E111" s="33">
        <f t="shared" si="46"/>
        <v>0</v>
      </c>
      <c r="F111" s="33">
        <v>4300</v>
      </c>
      <c r="G111" s="32">
        <v>0</v>
      </c>
      <c r="H111" s="33">
        <f t="shared" si="47"/>
        <v>0</v>
      </c>
      <c r="I111" s="33">
        <v>4300</v>
      </c>
      <c r="J111" s="32">
        <v>0</v>
      </c>
      <c r="K111" s="33">
        <f t="shared" si="48"/>
        <v>0</v>
      </c>
      <c r="L111" s="71"/>
      <c r="M111" s="89">
        <f>+I124-M110</f>
        <v>-2727000</v>
      </c>
      <c r="N111" s="71"/>
      <c r="O111" s="71"/>
      <c r="P111" s="38"/>
      <c r="Q111" s="71"/>
      <c r="R111" s="38"/>
      <c r="S111" s="38"/>
      <c r="T111" s="71"/>
      <c r="U111" s="38"/>
      <c r="V111" s="71"/>
      <c r="W111" s="38"/>
      <c r="X111" s="71"/>
    </row>
    <row r="112" spans="2:24">
      <c r="B112" s="32" t="s">
        <v>236</v>
      </c>
      <c r="C112" s="33">
        <v>80300</v>
      </c>
      <c r="D112" s="32">
        <v>8</v>
      </c>
      <c r="E112" s="33">
        <f t="shared" si="46"/>
        <v>642400</v>
      </c>
      <c r="F112" s="33">
        <v>80300</v>
      </c>
      <c r="G112" s="32">
        <f>84-22</f>
        <v>62</v>
      </c>
      <c r="H112" s="33">
        <f t="shared" si="47"/>
        <v>4978600</v>
      </c>
      <c r="I112" s="33">
        <v>80300</v>
      </c>
      <c r="J112" s="32">
        <v>50</v>
      </c>
      <c r="K112" s="33">
        <f t="shared" si="48"/>
        <v>4015000</v>
      </c>
      <c r="L112" s="71"/>
      <c r="M112" s="38"/>
      <c r="N112" s="71"/>
      <c r="O112" s="71"/>
      <c r="P112" s="38"/>
      <c r="Q112" s="71"/>
      <c r="R112" s="38"/>
      <c r="S112" s="38"/>
      <c r="T112" s="71"/>
      <c r="U112" s="38"/>
      <c r="V112" s="71"/>
      <c r="W112" s="38"/>
      <c r="X112" s="71"/>
    </row>
    <row r="113" spans="2:24">
      <c r="B113" s="32" t="s">
        <v>237</v>
      </c>
      <c r="C113" s="33">
        <v>870000</v>
      </c>
      <c r="D113" s="32">
        <v>6</v>
      </c>
      <c r="E113" s="33">
        <f t="shared" si="46"/>
        <v>5220000</v>
      </c>
      <c r="F113" s="33">
        <v>870000</v>
      </c>
      <c r="G113" s="32">
        <v>4</v>
      </c>
      <c r="H113" s="33">
        <f t="shared" si="47"/>
        <v>3480000</v>
      </c>
      <c r="I113" s="33">
        <v>870000</v>
      </c>
      <c r="J113" s="32">
        <v>5</v>
      </c>
      <c r="K113" s="33">
        <f t="shared" si="48"/>
        <v>4350000</v>
      </c>
      <c r="L113" s="71"/>
      <c r="M113" s="38"/>
      <c r="N113" s="71"/>
      <c r="O113" s="71"/>
      <c r="P113" s="38"/>
      <c r="Q113" s="71"/>
      <c r="R113" s="38"/>
      <c r="S113" s="38"/>
      <c r="T113" s="71"/>
      <c r="U113" s="38"/>
      <c r="V113" s="71"/>
      <c r="W113" s="38"/>
      <c r="X113" s="71"/>
    </row>
    <row r="114" spans="2:24">
      <c r="B114" s="32" t="s">
        <v>238</v>
      </c>
      <c r="C114" s="33">
        <v>435000</v>
      </c>
      <c r="D114" s="32">
        <v>0</v>
      </c>
      <c r="E114" s="33">
        <f t="shared" si="46"/>
        <v>0</v>
      </c>
      <c r="F114" s="33">
        <v>435000</v>
      </c>
      <c r="G114" s="32">
        <v>0</v>
      </c>
      <c r="H114" s="33">
        <f t="shared" si="47"/>
        <v>0</v>
      </c>
      <c r="I114" s="33">
        <v>435000</v>
      </c>
      <c r="J114" s="32">
        <v>0</v>
      </c>
      <c r="K114" s="33">
        <f t="shared" si="48"/>
        <v>0</v>
      </c>
      <c r="L114" s="71"/>
      <c r="M114" s="38"/>
      <c r="N114" s="71"/>
      <c r="O114" s="71"/>
      <c r="P114" s="38"/>
      <c r="Q114" s="71"/>
      <c r="R114" s="38"/>
      <c r="S114" s="91"/>
      <c r="T114" s="92"/>
      <c r="U114" s="38"/>
      <c r="V114" s="71"/>
      <c r="W114" s="38"/>
      <c r="X114" s="71"/>
    </row>
    <row r="115" spans="2:24">
      <c r="B115" s="32" t="s">
        <v>239</v>
      </c>
      <c r="C115" s="33">
        <v>420000</v>
      </c>
      <c r="D115" s="32">
        <v>0</v>
      </c>
      <c r="E115" s="33">
        <f t="shared" si="46"/>
        <v>0</v>
      </c>
      <c r="F115" s="33">
        <v>420000</v>
      </c>
      <c r="G115" s="32">
        <v>0</v>
      </c>
      <c r="H115" s="33">
        <f t="shared" si="47"/>
        <v>0</v>
      </c>
      <c r="I115" s="33">
        <v>420000</v>
      </c>
      <c r="J115" s="32">
        <v>0</v>
      </c>
      <c r="K115" s="33">
        <f t="shared" si="48"/>
        <v>0</v>
      </c>
      <c r="L115" s="71"/>
      <c r="M115" s="38"/>
      <c r="N115" s="71"/>
      <c r="O115" s="71"/>
      <c r="P115" s="38"/>
      <c r="Q115" s="71"/>
      <c r="R115" s="38"/>
      <c r="S115" s="38"/>
      <c r="T115" s="38"/>
      <c r="U115" s="38"/>
      <c r="V115" s="71"/>
      <c r="W115" s="38"/>
      <c r="X115" s="71"/>
    </row>
    <row r="116" spans="2:24">
      <c r="B116" s="32" t="s">
        <v>240</v>
      </c>
      <c r="C116" s="33">
        <v>450000</v>
      </c>
      <c r="D116" s="32">
        <v>0</v>
      </c>
      <c r="E116" s="33">
        <f t="shared" si="46"/>
        <v>0</v>
      </c>
      <c r="F116" s="33">
        <v>450000</v>
      </c>
      <c r="G116" s="32">
        <v>0</v>
      </c>
      <c r="H116" s="33">
        <f t="shared" si="47"/>
        <v>0</v>
      </c>
      <c r="I116" s="33">
        <v>450000</v>
      </c>
      <c r="J116" s="32">
        <v>0</v>
      </c>
      <c r="K116" s="33">
        <f t="shared" si="48"/>
        <v>0</v>
      </c>
      <c r="L116" s="71"/>
      <c r="M116" s="38"/>
      <c r="N116" s="71"/>
      <c r="O116" s="71"/>
      <c r="P116" s="38"/>
      <c r="Q116" s="71"/>
      <c r="R116" s="38"/>
      <c r="S116" s="38"/>
      <c r="T116" s="38"/>
      <c r="U116" s="38"/>
      <c r="V116" s="71"/>
      <c r="W116" s="38"/>
      <c r="X116" s="71"/>
    </row>
    <row r="117" spans="2:24">
      <c r="B117" s="32" t="s">
        <v>183</v>
      </c>
      <c r="C117" s="33">
        <v>5700</v>
      </c>
      <c r="D117" s="32">
        <v>0</v>
      </c>
      <c r="E117" s="33">
        <f t="shared" si="46"/>
        <v>0</v>
      </c>
      <c r="F117" s="33">
        <v>5700</v>
      </c>
      <c r="G117" s="32">
        <v>0</v>
      </c>
      <c r="H117" s="33">
        <f t="shared" si="47"/>
        <v>0</v>
      </c>
      <c r="I117" s="33">
        <v>5700</v>
      </c>
      <c r="J117" s="32">
        <v>0</v>
      </c>
      <c r="K117" s="33">
        <f t="shared" si="48"/>
        <v>0</v>
      </c>
      <c r="L117" s="71"/>
      <c r="M117" s="38"/>
      <c r="N117" s="71"/>
      <c r="O117" s="71"/>
      <c r="P117" s="38"/>
      <c r="Q117" s="71"/>
      <c r="R117" s="38"/>
      <c r="S117" s="38"/>
      <c r="T117" s="38"/>
      <c r="U117" s="38"/>
      <c r="V117" s="71"/>
      <c r="W117" s="38"/>
      <c r="X117" s="71"/>
    </row>
    <row r="118" spans="2:24" s="2" customFormat="1">
      <c r="B118" s="35"/>
      <c r="C118" s="35"/>
      <c r="D118" s="31" t="s">
        <v>48</v>
      </c>
      <c r="E118" s="36">
        <f>SUM(E109:E117)</f>
        <v>81340400</v>
      </c>
      <c r="F118" s="35"/>
      <c r="G118" s="31" t="s">
        <v>48</v>
      </c>
      <c r="H118" s="36">
        <f>SUM(H109:H117)</f>
        <v>52805600</v>
      </c>
      <c r="I118" s="35"/>
      <c r="J118" s="31" t="s">
        <v>48</v>
      </c>
      <c r="K118" s="36">
        <f>SUM(K109:K117)</f>
        <v>49993000</v>
      </c>
      <c r="L118" s="41"/>
      <c r="M118" s="42"/>
      <c r="N118" s="52"/>
      <c r="O118" s="41"/>
      <c r="P118" s="42"/>
      <c r="Q118" s="43"/>
      <c r="R118" s="38"/>
      <c r="S118" s="38"/>
      <c r="T118" s="38"/>
      <c r="U118" s="38"/>
      <c r="V118" s="41"/>
      <c r="W118" s="42"/>
      <c r="X118" s="43"/>
    </row>
    <row r="119" spans="2:24">
      <c r="E119" s="56">
        <f>+E103-E118</f>
        <v>1380000</v>
      </c>
      <c r="K119" s="49"/>
      <c r="W119" s="49"/>
    </row>
    <row r="120" spans="2:24">
      <c r="E120" s="29">
        <f>+E119/23000</f>
        <v>60</v>
      </c>
      <c r="K120" s="49"/>
      <c r="W120" s="49"/>
    </row>
    <row r="121" spans="2:24">
      <c r="C121" s="29" t="s">
        <v>312</v>
      </c>
      <c r="F121" s="29" t="s">
        <v>309</v>
      </c>
      <c r="I121" s="29" t="s">
        <v>313</v>
      </c>
      <c r="S121" s="29" t="s">
        <v>158</v>
      </c>
      <c r="W121" s="49"/>
    </row>
    <row r="122" spans="2:24">
      <c r="B122" s="379" t="s">
        <v>315</v>
      </c>
      <c r="C122" s="330" t="s">
        <v>316</v>
      </c>
      <c r="D122" s="331"/>
      <c r="E122" s="332"/>
      <c r="F122" s="327" t="s">
        <v>319</v>
      </c>
      <c r="G122" s="328"/>
      <c r="H122" s="329"/>
      <c r="I122" s="327" t="s">
        <v>320</v>
      </c>
      <c r="J122" s="328"/>
      <c r="K122" s="329"/>
      <c r="L122" s="330" t="s">
        <v>317</v>
      </c>
      <c r="M122" s="331"/>
      <c r="N122" s="332"/>
      <c r="O122" s="330" t="s">
        <v>321</v>
      </c>
      <c r="P122" s="331"/>
      <c r="Q122" s="332"/>
      <c r="S122" s="32" t="s">
        <v>15</v>
      </c>
      <c r="T122" s="32" t="s">
        <v>17</v>
      </c>
      <c r="V122" s="330" t="s">
        <v>322</v>
      </c>
      <c r="W122" s="331"/>
      <c r="X122" s="332"/>
    </row>
    <row r="123" spans="2:24">
      <c r="B123" s="380"/>
      <c r="C123" s="30" t="s">
        <v>180</v>
      </c>
      <c r="D123" s="31" t="s">
        <v>41</v>
      </c>
      <c r="E123" s="31" t="s">
        <v>44</v>
      </c>
      <c r="F123" s="30" t="s">
        <v>180</v>
      </c>
      <c r="G123" s="31" t="s">
        <v>41</v>
      </c>
      <c r="H123" s="31" t="s">
        <v>44</v>
      </c>
      <c r="I123" s="30" t="s">
        <v>180</v>
      </c>
      <c r="J123" s="31" t="s">
        <v>41</v>
      </c>
      <c r="K123" s="31" t="s">
        <v>44</v>
      </c>
      <c r="L123" s="30" t="s">
        <v>180</v>
      </c>
      <c r="M123" s="31" t="s">
        <v>41</v>
      </c>
      <c r="N123" s="31" t="s">
        <v>44</v>
      </c>
      <c r="O123" s="30" t="s">
        <v>180</v>
      </c>
      <c r="P123" s="31" t="s">
        <v>41</v>
      </c>
      <c r="Q123" s="31" t="s">
        <v>44</v>
      </c>
      <c r="S123" s="32">
        <v>2.8472222222222201E-2</v>
      </c>
      <c r="T123" s="33">
        <v>1.52777777777778E-2</v>
      </c>
      <c r="V123" s="30" t="s">
        <v>180</v>
      </c>
      <c r="W123" s="31" t="s">
        <v>41</v>
      </c>
      <c r="X123" s="31" t="s">
        <v>44</v>
      </c>
    </row>
    <row r="124" spans="2:24">
      <c r="B124" s="32" t="s">
        <v>233</v>
      </c>
      <c r="C124" s="66">
        <v>31384000</v>
      </c>
      <c r="D124" s="32">
        <v>2</v>
      </c>
      <c r="E124" s="33">
        <f t="shared" ref="E124:E132" si="49">+C124*D124</f>
        <v>62768000</v>
      </c>
      <c r="F124" s="33">
        <v>29913000</v>
      </c>
      <c r="G124" s="32">
        <v>1</v>
      </c>
      <c r="H124" s="33">
        <f t="shared" ref="H124:H132" si="50">+F124*G124</f>
        <v>29913000</v>
      </c>
      <c r="I124" s="33">
        <v>31063000</v>
      </c>
      <c r="J124" s="32">
        <v>1</v>
      </c>
      <c r="K124" s="33">
        <f t="shared" ref="K124:K132" si="51">+I124*J124</f>
        <v>31063000</v>
      </c>
      <c r="L124" s="33">
        <v>31913000</v>
      </c>
      <c r="M124" s="32">
        <v>1</v>
      </c>
      <c r="N124" s="33">
        <f t="shared" ref="N124:N132" si="52">+L124*M124</f>
        <v>31913000</v>
      </c>
      <c r="O124" s="33">
        <v>38328000</v>
      </c>
      <c r="P124" s="32">
        <v>1</v>
      </c>
      <c r="Q124" s="33">
        <f t="shared" ref="Q124:Q132" si="53">+O124*P124</f>
        <v>38328000</v>
      </c>
      <c r="S124" s="32">
        <v>4.72222222222222E-2</v>
      </c>
      <c r="T124" s="33">
        <v>2.5000000000000001E-2</v>
      </c>
      <c r="V124" s="66">
        <v>31384000</v>
      </c>
      <c r="W124" s="32">
        <v>2</v>
      </c>
      <c r="X124" s="33">
        <f t="shared" ref="X124:X132" si="54">+V124*W124</f>
        <v>62768000</v>
      </c>
    </row>
    <row r="125" spans="2:24">
      <c r="B125" s="32" t="s">
        <v>234</v>
      </c>
      <c r="C125" s="33">
        <v>6355000</v>
      </c>
      <c r="D125" s="32">
        <v>2</v>
      </c>
      <c r="E125" s="33">
        <f t="shared" si="49"/>
        <v>12710000</v>
      </c>
      <c r="F125" s="33">
        <v>12434000</v>
      </c>
      <c r="G125" s="32">
        <v>1</v>
      </c>
      <c r="H125" s="33">
        <f t="shared" si="50"/>
        <v>12434000</v>
      </c>
      <c r="I125" s="33">
        <v>8565000</v>
      </c>
      <c r="J125" s="32">
        <v>1</v>
      </c>
      <c r="K125" s="33">
        <f t="shared" si="51"/>
        <v>8565000</v>
      </c>
      <c r="L125" s="33">
        <v>12434000</v>
      </c>
      <c r="M125" s="32">
        <v>1</v>
      </c>
      <c r="N125" s="33">
        <f t="shared" si="52"/>
        <v>12434000</v>
      </c>
      <c r="O125" s="33">
        <v>7031000</v>
      </c>
      <c r="P125" s="32">
        <v>1</v>
      </c>
      <c r="Q125" s="33">
        <f t="shared" si="53"/>
        <v>7031000</v>
      </c>
      <c r="S125" s="32">
        <v>3.6805555555555501E-2</v>
      </c>
      <c r="T125" s="33"/>
      <c r="V125" s="33">
        <v>6355000</v>
      </c>
      <c r="W125" s="32">
        <v>2</v>
      </c>
      <c r="X125" s="33">
        <f t="shared" si="54"/>
        <v>12710000</v>
      </c>
    </row>
    <row r="126" spans="2:24">
      <c r="B126" s="32" t="s">
        <v>235</v>
      </c>
      <c r="C126" s="33">
        <v>6600</v>
      </c>
      <c r="D126" s="32">
        <v>0</v>
      </c>
      <c r="E126" s="33">
        <f t="shared" si="49"/>
        <v>0</v>
      </c>
      <c r="F126" s="33">
        <v>4300</v>
      </c>
      <c r="G126" s="32">
        <v>0</v>
      </c>
      <c r="H126" s="33">
        <f t="shared" si="50"/>
        <v>0</v>
      </c>
      <c r="I126" s="33">
        <v>4300</v>
      </c>
      <c r="J126" s="32">
        <v>0</v>
      </c>
      <c r="K126" s="33">
        <f t="shared" si="51"/>
        <v>0</v>
      </c>
      <c r="L126" s="33">
        <v>6600</v>
      </c>
      <c r="M126" s="32">
        <v>0</v>
      </c>
      <c r="N126" s="33">
        <f t="shared" si="52"/>
        <v>0</v>
      </c>
      <c r="O126" s="33">
        <v>6600</v>
      </c>
      <c r="P126" s="32">
        <v>0</v>
      </c>
      <c r="Q126" s="33">
        <f t="shared" si="53"/>
        <v>0</v>
      </c>
      <c r="S126" s="32">
        <v>0.05</v>
      </c>
      <c r="T126" s="33"/>
      <c r="V126" s="33">
        <v>6600</v>
      </c>
      <c r="W126" s="32">
        <v>0</v>
      </c>
      <c r="X126" s="33">
        <f t="shared" si="54"/>
        <v>0</v>
      </c>
    </row>
    <row r="127" spans="2:24">
      <c r="B127" s="32" t="s">
        <v>236</v>
      </c>
      <c r="C127" s="33">
        <v>80300</v>
      </c>
      <c r="D127" s="32">
        <v>8</v>
      </c>
      <c r="E127" s="33">
        <f t="shared" si="49"/>
        <v>642400</v>
      </c>
      <c r="F127" s="33">
        <v>80300</v>
      </c>
      <c r="G127" s="32">
        <f>G83-22</f>
        <v>62</v>
      </c>
      <c r="H127" s="33">
        <f t="shared" si="50"/>
        <v>4978600</v>
      </c>
      <c r="I127" s="33">
        <v>80300</v>
      </c>
      <c r="J127" s="32">
        <f>72-22</f>
        <v>50</v>
      </c>
      <c r="K127" s="33">
        <f t="shared" si="51"/>
        <v>4015000</v>
      </c>
      <c r="L127" s="33">
        <v>80300</v>
      </c>
      <c r="M127" s="32">
        <f>G127</f>
        <v>62</v>
      </c>
      <c r="N127" s="33">
        <f t="shared" si="52"/>
        <v>4978600</v>
      </c>
      <c r="O127" s="33">
        <v>80300</v>
      </c>
      <c r="P127" s="32">
        <f>72-22</f>
        <v>50</v>
      </c>
      <c r="Q127" s="33">
        <f t="shared" si="53"/>
        <v>4015000</v>
      </c>
      <c r="S127" s="32">
        <v>0.16250000000000001</v>
      </c>
      <c r="T127" s="33">
        <v>4.0277777777777801E-2</v>
      </c>
      <c r="V127" s="33">
        <v>80300</v>
      </c>
      <c r="W127" s="32">
        <v>8</v>
      </c>
      <c r="X127" s="33">
        <f t="shared" si="54"/>
        <v>642400</v>
      </c>
    </row>
    <row r="128" spans="2:24">
      <c r="B128" s="32" t="s">
        <v>237</v>
      </c>
      <c r="C128" s="33">
        <v>1100000</v>
      </c>
      <c r="D128" s="32">
        <v>6</v>
      </c>
      <c r="E128" s="33">
        <f t="shared" si="49"/>
        <v>6600000</v>
      </c>
      <c r="F128" s="33">
        <v>870000</v>
      </c>
      <c r="G128" s="32">
        <v>4</v>
      </c>
      <c r="H128" s="33">
        <f t="shared" si="50"/>
        <v>3480000</v>
      </c>
      <c r="I128" s="33">
        <v>870000</v>
      </c>
      <c r="J128" s="32">
        <v>5</v>
      </c>
      <c r="K128" s="33">
        <f t="shared" si="51"/>
        <v>4350000</v>
      </c>
      <c r="L128" s="33">
        <v>1100000</v>
      </c>
      <c r="M128" s="32">
        <v>4</v>
      </c>
      <c r="N128" s="33">
        <f t="shared" si="52"/>
        <v>4400000</v>
      </c>
      <c r="O128" s="33">
        <v>1100000</v>
      </c>
      <c r="P128" s="32">
        <v>5</v>
      </c>
      <c r="Q128" s="33">
        <f t="shared" si="53"/>
        <v>5500000</v>
      </c>
      <c r="S128" s="32">
        <v>3.9</v>
      </c>
      <c r="T128" s="33">
        <v>0.96666666666666701</v>
      </c>
      <c r="V128" s="33">
        <v>1100000</v>
      </c>
      <c r="W128" s="32">
        <v>6</v>
      </c>
      <c r="X128" s="33">
        <f t="shared" si="54"/>
        <v>6600000</v>
      </c>
    </row>
    <row r="129" spans="2:24">
      <c r="B129" s="32" t="s">
        <v>238</v>
      </c>
      <c r="C129" s="33">
        <v>550000</v>
      </c>
      <c r="D129" s="32">
        <v>0</v>
      </c>
      <c r="E129" s="33">
        <f t="shared" si="49"/>
        <v>0</v>
      </c>
      <c r="F129" s="33">
        <v>435000</v>
      </c>
      <c r="G129" s="32">
        <v>0</v>
      </c>
      <c r="H129" s="33">
        <f t="shared" si="50"/>
        <v>0</v>
      </c>
      <c r="I129" s="33">
        <v>435000</v>
      </c>
      <c r="J129" s="32">
        <v>0</v>
      </c>
      <c r="K129" s="33">
        <f t="shared" si="51"/>
        <v>0</v>
      </c>
      <c r="L129" s="33">
        <v>550000</v>
      </c>
      <c r="M129" s="32">
        <v>0</v>
      </c>
      <c r="N129" s="33">
        <f t="shared" si="52"/>
        <v>0</v>
      </c>
      <c r="O129" s="33">
        <v>550000</v>
      </c>
      <c r="P129" s="32">
        <v>0</v>
      </c>
      <c r="Q129" s="33">
        <f t="shared" si="53"/>
        <v>0</v>
      </c>
      <c r="S129" s="53">
        <v>85.8</v>
      </c>
      <c r="T129" s="94">
        <v>21.266666666666701</v>
      </c>
      <c r="V129" s="33">
        <v>550000</v>
      </c>
      <c r="W129" s="32">
        <v>0</v>
      </c>
      <c r="X129" s="33">
        <f t="shared" si="54"/>
        <v>0</v>
      </c>
    </row>
    <row r="130" spans="2:24">
      <c r="B130" s="32" t="s">
        <v>239</v>
      </c>
      <c r="C130" s="33">
        <v>420000</v>
      </c>
      <c r="D130" s="32">
        <v>0</v>
      </c>
      <c r="E130" s="33">
        <f t="shared" si="49"/>
        <v>0</v>
      </c>
      <c r="F130" s="33">
        <v>420000</v>
      </c>
      <c r="G130" s="32">
        <v>0</v>
      </c>
      <c r="H130" s="33">
        <f t="shared" si="50"/>
        <v>0</v>
      </c>
      <c r="I130" s="33">
        <v>420000</v>
      </c>
      <c r="J130" s="32">
        <v>0</v>
      </c>
      <c r="K130" s="33">
        <f t="shared" si="51"/>
        <v>0</v>
      </c>
      <c r="L130" s="33">
        <v>420000</v>
      </c>
      <c r="M130" s="32">
        <v>0</v>
      </c>
      <c r="N130" s="33">
        <f t="shared" si="52"/>
        <v>0</v>
      </c>
      <c r="O130" s="33">
        <v>420000</v>
      </c>
      <c r="P130" s="32">
        <v>0</v>
      </c>
      <c r="Q130" s="33">
        <f t="shared" si="53"/>
        <v>0</v>
      </c>
      <c r="S130" s="56">
        <f>S129+T129</f>
        <v>107.06666666666669</v>
      </c>
      <c r="V130" s="33">
        <v>420000</v>
      </c>
      <c r="W130" s="32">
        <v>0</v>
      </c>
      <c r="X130" s="33">
        <f t="shared" si="54"/>
        <v>0</v>
      </c>
    </row>
    <row r="131" spans="2:24">
      <c r="B131" s="32" t="s">
        <v>240</v>
      </c>
      <c r="C131" s="33">
        <v>450000</v>
      </c>
      <c r="D131" s="32">
        <v>0</v>
      </c>
      <c r="E131" s="33">
        <f t="shared" si="49"/>
        <v>0</v>
      </c>
      <c r="F131" s="33">
        <v>450000</v>
      </c>
      <c r="G131" s="32">
        <v>0</v>
      </c>
      <c r="H131" s="33">
        <f t="shared" si="50"/>
        <v>0</v>
      </c>
      <c r="I131" s="33">
        <v>450000</v>
      </c>
      <c r="J131" s="32">
        <v>0</v>
      </c>
      <c r="K131" s="33">
        <f t="shared" si="51"/>
        <v>0</v>
      </c>
      <c r="L131" s="33">
        <v>450000</v>
      </c>
      <c r="M131" s="32">
        <v>0</v>
      </c>
      <c r="N131" s="33">
        <f t="shared" si="52"/>
        <v>0</v>
      </c>
      <c r="O131" s="33">
        <v>450000</v>
      </c>
      <c r="P131" s="32">
        <v>0</v>
      </c>
      <c r="Q131" s="33">
        <f t="shared" si="53"/>
        <v>0</v>
      </c>
      <c r="V131" s="33">
        <v>450000</v>
      </c>
      <c r="W131" s="32">
        <v>0</v>
      </c>
      <c r="X131" s="33">
        <f t="shared" si="54"/>
        <v>0</v>
      </c>
    </row>
    <row r="132" spans="2:24">
      <c r="B132" s="32" t="s">
        <v>183</v>
      </c>
      <c r="C132" s="33">
        <v>5700</v>
      </c>
      <c r="D132" s="32">
        <v>0</v>
      </c>
      <c r="E132" s="33">
        <f t="shared" si="49"/>
        <v>0</v>
      </c>
      <c r="F132" s="33">
        <v>5700</v>
      </c>
      <c r="G132" s="32">
        <v>0</v>
      </c>
      <c r="H132" s="33">
        <f t="shared" si="50"/>
        <v>0</v>
      </c>
      <c r="I132" s="33">
        <v>5700</v>
      </c>
      <c r="J132" s="32">
        <v>0</v>
      </c>
      <c r="K132" s="33">
        <f t="shared" si="51"/>
        <v>0</v>
      </c>
      <c r="L132" s="33">
        <v>5700</v>
      </c>
      <c r="M132" s="32">
        <v>0</v>
      </c>
      <c r="N132" s="33">
        <f t="shared" si="52"/>
        <v>0</v>
      </c>
      <c r="O132" s="33">
        <v>5700</v>
      </c>
      <c r="P132" s="32">
        <v>0</v>
      </c>
      <c r="Q132" s="33">
        <f t="shared" si="53"/>
        <v>0</v>
      </c>
      <c r="V132" s="33">
        <v>5700</v>
      </c>
      <c r="W132" s="32">
        <v>0</v>
      </c>
      <c r="X132" s="33">
        <f t="shared" si="54"/>
        <v>0</v>
      </c>
    </row>
    <row r="133" spans="2:24" s="2" customFormat="1">
      <c r="B133" s="35"/>
      <c r="C133" s="35"/>
      <c r="D133" s="31" t="s">
        <v>48</v>
      </c>
      <c r="E133" s="36">
        <f>SUM(E124:E132)</f>
        <v>82720400</v>
      </c>
      <c r="F133" s="35"/>
      <c r="G133" s="31" t="s">
        <v>48</v>
      </c>
      <c r="H133" s="36">
        <f>SUM(H124:H132)</f>
        <v>50805600</v>
      </c>
      <c r="I133" s="35"/>
      <c r="J133" s="31" t="s">
        <v>48</v>
      </c>
      <c r="K133" s="36">
        <f>SUM(K124:K132)</f>
        <v>47993000</v>
      </c>
      <c r="L133" s="35"/>
      <c r="M133" s="31" t="s">
        <v>48</v>
      </c>
      <c r="N133" s="51">
        <f>SUM(N124:N132)</f>
        <v>53725600</v>
      </c>
      <c r="O133" s="35"/>
      <c r="P133" s="31" t="s">
        <v>48</v>
      </c>
      <c r="Q133" s="36">
        <f>SUM(Q124:Q132)</f>
        <v>54874000</v>
      </c>
      <c r="R133" s="29"/>
      <c r="S133" s="29"/>
      <c r="T133" s="29"/>
      <c r="U133" s="29"/>
      <c r="V133" s="35"/>
      <c r="W133" s="31" t="s">
        <v>48</v>
      </c>
      <c r="X133" s="36">
        <f>SUM(X124:X132)</f>
        <v>82720400</v>
      </c>
    </row>
    <row r="134" spans="2:24">
      <c r="K134" s="49"/>
    </row>
    <row r="135" spans="2:24">
      <c r="K135" s="49"/>
    </row>
    <row r="136" spans="2:24">
      <c r="H136" s="56"/>
      <c r="K136" s="49"/>
      <c r="W136" s="49"/>
    </row>
    <row r="137" spans="2:24">
      <c r="H137" s="56"/>
      <c r="K137" s="49"/>
      <c r="W137" s="49"/>
    </row>
    <row r="138" spans="2:24">
      <c r="K138" s="49"/>
      <c r="W138" s="49"/>
    </row>
    <row r="139" spans="2:24" ht="15" hidden="1" customHeight="1">
      <c r="B139" s="39" t="s">
        <v>323</v>
      </c>
      <c r="C139" s="29" t="s">
        <v>280</v>
      </c>
      <c r="F139" s="29" t="s">
        <v>281</v>
      </c>
      <c r="I139" s="29" t="s">
        <v>282</v>
      </c>
      <c r="K139" s="49"/>
      <c r="W139" s="49"/>
    </row>
    <row r="140" spans="2:24" ht="15" hidden="1" customHeight="1">
      <c r="B140" s="340" t="s">
        <v>283</v>
      </c>
      <c r="C140" s="330" t="s">
        <v>10</v>
      </c>
      <c r="D140" s="331"/>
      <c r="E140" s="332"/>
      <c r="F140" s="330" t="s">
        <v>15</v>
      </c>
      <c r="G140" s="331"/>
      <c r="H140" s="332"/>
      <c r="I140" s="330" t="s">
        <v>17</v>
      </c>
      <c r="J140" s="331"/>
      <c r="K140" s="332"/>
      <c r="N140" s="340" t="s">
        <v>283</v>
      </c>
      <c r="O140" s="330" t="s">
        <v>10</v>
      </c>
      <c r="P140" s="331"/>
      <c r="Q140" s="332"/>
      <c r="R140" s="330" t="s">
        <v>15</v>
      </c>
      <c r="S140" s="331"/>
      <c r="T140" s="332"/>
      <c r="U140" s="330" t="s">
        <v>17</v>
      </c>
      <c r="V140" s="331"/>
      <c r="W140" s="332"/>
    </row>
    <row r="141" spans="2:24" ht="15" hidden="1" customHeight="1">
      <c r="B141" s="341"/>
      <c r="C141" s="30" t="s">
        <v>180</v>
      </c>
      <c r="D141" s="31" t="s">
        <v>41</v>
      </c>
      <c r="E141" s="31" t="s">
        <v>44</v>
      </c>
      <c r="F141" s="30" t="s">
        <v>180</v>
      </c>
      <c r="G141" s="31" t="s">
        <v>41</v>
      </c>
      <c r="H141" s="31" t="s">
        <v>44</v>
      </c>
      <c r="I141" s="30" t="s">
        <v>180</v>
      </c>
      <c r="J141" s="31" t="s">
        <v>41</v>
      </c>
      <c r="K141" s="31" t="s">
        <v>44</v>
      </c>
      <c r="N141" s="341"/>
      <c r="O141" s="30" t="s">
        <v>180</v>
      </c>
      <c r="P141" s="31" t="s">
        <v>41</v>
      </c>
      <c r="Q141" s="31" t="s">
        <v>44</v>
      </c>
      <c r="R141" s="30" t="s">
        <v>180</v>
      </c>
      <c r="S141" s="31" t="s">
        <v>41</v>
      </c>
      <c r="T141" s="31" t="s">
        <v>44</v>
      </c>
      <c r="U141" s="30" t="s">
        <v>180</v>
      </c>
      <c r="V141" s="31" t="s">
        <v>41</v>
      </c>
      <c r="W141" s="31" t="s">
        <v>44</v>
      </c>
    </row>
    <row r="142" spans="2:24" ht="15" hidden="1" customHeight="1">
      <c r="B142" s="32" t="s">
        <v>233</v>
      </c>
      <c r="C142" s="33">
        <v>37956400</v>
      </c>
      <c r="D142" s="32">
        <v>1</v>
      </c>
      <c r="E142" s="33">
        <f t="shared" ref="E142:E150" si="55">+C142*D142</f>
        <v>37956400</v>
      </c>
      <c r="F142" s="33">
        <v>41245952.380952403</v>
      </c>
      <c r="G142" s="32">
        <v>1</v>
      </c>
      <c r="H142" s="33">
        <f t="shared" ref="H142:H150" si="56">+F142*G142</f>
        <v>41245952.380952403</v>
      </c>
      <c r="I142" s="33">
        <v>41989500</v>
      </c>
      <c r="J142" s="32">
        <v>1</v>
      </c>
      <c r="K142" s="33">
        <f t="shared" ref="K142:K150" si="57">+I142*J142</f>
        <v>41989500</v>
      </c>
      <c r="N142" s="32" t="s">
        <v>233</v>
      </c>
      <c r="O142" s="33">
        <v>37956400</v>
      </c>
      <c r="P142" s="32">
        <v>1</v>
      </c>
      <c r="Q142" s="33">
        <f t="shared" ref="Q142:Q150" si="58">+O142*P142</f>
        <v>37956400</v>
      </c>
      <c r="R142" s="33">
        <v>41245952.380952403</v>
      </c>
      <c r="S142" s="32">
        <v>1</v>
      </c>
      <c r="T142" s="33">
        <f t="shared" ref="T142:T150" si="59">+R142*S142</f>
        <v>41245952.380952403</v>
      </c>
      <c r="U142" s="33">
        <v>41989500</v>
      </c>
      <c r="V142" s="32">
        <v>1</v>
      </c>
      <c r="W142" s="33">
        <f t="shared" ref="W142:W150" si="60">+U142*V142</f>
        <v>41989500</v>
      </c>
    </row>
    <row r="143" spans="2:24" ht="15" hidden="1" customHeight="1">
      <c r="B143" s="32" t="s">
        <v>234</v>
      </c>
      <c r="C143" s="33">
        <v>7904650</v>
      </c>
      <c r="D143" s="32">
        <v>1</v>
      </c>
      <c r="E143" s="33">
        <f t="shared" si="55"/>
        <v>7904650</v>
      </c>
      <c r="F143" s="33">
        <v>10550000</v>
      </c>
      <c r="G143" s="32">
        <v>1</v>
      </c>
      <c r="H143" s="33">
        <f t="shared" si="56"/>
        <v>10550000</v>
      </c>
      <c r="I143" s="33">
        <v>9766375</v>
      </c>
      <c r="J143" s="32">
        <v>1</v>
      </c>
      <c r="K143" s="33">
        <f t="shared" si="57"/>
        <v>9766375</v>
      </c>
      <c r="N143" s="32" t="s">
        <v>234</v>
      </c>
      <c r="O143" s="33">
        <v>7904650</v>
      </c>
      <c r="P143" s="32">
        <v>1</v>
      </c>
      <c r="Q143" s="33">
        <f t="shared" si="58"/>
        <v>7904650</v>
      </c>
      <c r="R143" s="33">
        <v>10550000</v>
      </c>
      <c r="S143" s="32">
        <v>1</v>
      </c>
      <c r="T143" s="33">
        <f t="shared" si="59"/>
        <v>10550000</v>
      </c>
      <c r="U143" s="33">
        <v>9766375</v>
      </c>
      <c r="V143" s="32">
        <v>1</v>
      </c>
      <c r="W143" s="33">
        <f t="shared" si="60"/>
        <v>9766375</v>
      </c>
    </row>
    <row r="144" spans="2:24" ht="15" hidden="1" customHeight="1">
      <c r="B144" s="32" t="s">
        <v>235</v>
      </c>
      <c r="C144" s="33">
        <v>6600</v>
      </c>
      <c r="D144" s="32">
        <v>0</v>
      </c>
      <c r="E144" s="33">
        <f t="shared" si="55"/>
        <v>0</v>
      </c>
      <c r="F144" s="33">
        <v>6600</v>
      </c>
      <c r="G144" s="32">
        <v>0</v>
      </c>
      <c r="H144" s="33">
        <f t="shared" si="56"/>
        <v>0</v>
      </c>
      <c r="I144" s="33">
        <v>6600</v>
      </c>
      <c r="J144" s="32">
        <v>0</v>
      </c>
      <c r="K144" s="33">
        <f t="shared" si="57"/>
        <v>0</v>
      </c>
      <c r="N144" s="32" t="s">
        <v>235</v>
      </c>
      <c r="O144" s="33">
        <v>4300</v>
      </c>
      <c r="P144" s="32">
        <v>0</v>
      </c>
      <c r="Q144" s="33">
        <f t="shared" si="58"/>
        <v>0</v>
      </c>
      <c r="R144" s="33">
        <v>4300</v>
      </c>
      <c r="S144" s="32">
        <v>0</v>
      </c>
      <c r="T144" s="33">
        <f t="shared" si="59"/>
        <v>0</v>
      </c>
      <c r="U144" s="33">
        <v>4300</v>
      </c>
      <c r="V144" s="32">
        <v>0</v>
      </c>
      <c r="W144" s="33">
        <f t="shared" si="60"/>
        <v>0</v>
      </c>
    </row>
    <row r="145" spans="2:23" ht="15" hidden="1" customHeight="1">
      <c r="B145" s="32" t="s">
        <v>236</v>
      </c>
      <c r="C145" s="33">
        <v>80300</v>
      </c>
      <c r="D145" s="32">
        <v>19</v>
      </c>
      <c r="E145" s="33">
        <f t="shared" si="55"/>
        <v>1525700</v>
      </c>
      <c r="F145" s="33">
        <v>80300</v>
      </c>
      <c r="G145" s="32">
        <v>41</v>
      </c>
      <c r="H145" s="33">
        <f t="shared" si="56"/>
        <v>3292300</v>
      </c>
      <c r="I145" s="33">
        <v>80300</v>
      </c>
      <c r="J145" s="32">
        <v>12</v>
      </c>
      <c r="K145" s="33">
        <f t="shared" si="57"/>
        <v>963600</v>
      </c>
      <c r="N145" s="32" t="s">
        <v>236</v>
      </c>
      <c r="O145" s="33">
        <v>80300</v>
      </c>
      <c r="P145" s="32">
        <v>19</v>
      </c>
      <c r="Q145" s="33">
        <f t="shared" si="58"/>
        <v>1525700</v>
      </c>
      <c r="R145" s="33">
        <v>80300</v>
      </c>
      <c r="S145" s="32">
        <v>41</v>
      </c>
      <c r="T145" s="33">
        <f t="shared" si="59"/>
        <v>3292300</v>
      </c>
      <c r="U145" s="33">
        <v>80300</v>
      </c>
      <c r="V145" s="32">
        <v>12</v>
      </c>
      <c r="W145" s="33">
        <f t="shared" si="60"/>
        <v>963600</v>
      </c>
    </row>
    <row r="146" spans="2:23" ht="15" hidden="1" customHeight="1">
      <c r="B146" s="32" t="s">
        <v>237</v>
      </c>
      <c r="C146" s="33">
        <v>1100000</v>
      </c>
      <c r="D146" s="32">
        <v>0.5</v>
      </c>
      <c r="E146" s="33">
        <f t="shared" si="55"/>
        <v>550000</v>
      </c>
      <c r="F146" s="33">
        <v>1100000</v>
      </c>
      <c r="G146" s="32">
        <v>0.5</v>
      </c>
      <c r="H146" s="33">
        <f t="shared" si="56"/>
        <v>550000</v>
      </c>
      <c r="I146" s="33">
        <v>1100000</v>
      </c>
      <c r="J146" s="32">
        <v>1</v>
      </c>
      <c r="K146" s="33">
        <f t="shared" si="57"/>
        <v>1100000</v>
      </c>
      <c r="N146" s="32" t="s">
        <v>237</v>
      </c>
      <c r="O146" s="33">
        <v>870000</v>
      </c>
      <c r="P146" s="32">
        <v>0.5</v>
      </c>
      <c r="Q146" s="33">
        <f t="shared" si="58"/>
        <v>435000</v>
      </c>
      <c r="R146" s="33">
        <v>870000</v>
      </c>
      <c r="S146" s="32">
        <v>0.5</v>
      </c>
      <c r="T146" s="33">
        <f t="shared" si="59"/>
        <v>435000</v>
      </c>
      <c r="U146" s="33">
        <v>870000</v>
      </c>
      <c r="V146" s="32">
        <v>1</v>
      </c>
      <c r="W146" s="33">
        <f t="shared" si="60"/>
        <v>870000</v>
      </c>
    </row>
    <row r="147" spans="2:23" hidden="1">
      <c r="B147" s="32" t="s">
        <v>238</v>
      </c>
      <c r="C147" s="33">
        <v>550000</v>
      </c>
      <c r="D147" s="32">
        <v>0</v>
      </c>
      <c r="E147" s="33">
        <f t="shared" si="55"/>
        <v>0</v>
      </c>
      <c r="F147" s="33">
        <v>550000</v>
      </c>
      <c r="G147" s="32">
        <v>0</v>
      </c>
      <c r="H147" s="33">
        <f t="shared" si="56"/>
        <v>0</v>
      </c>
      <c r="I147" s="33">
        <v>550000</v>
      </c>
      <c r="J147" s="32">
        <v>0</v>
      </c>
      <c r="K147" s="33">
        <f t="shared" si="57"/>
        <v>0</v>
      </c>
      <c r="N147" s="32" t="s">
        <v>238</v>
      </c>
      <c r="O147" s="33">
        <v>435000</v>
      </c>
      <c r="P147" s="32">
        <v>0</v>
      </c>
      <c r="Q147" s="33">
        <f t="shared" si="58"/>
        <v>0</v>
      </c>
      <c r="R147" s="33">
        <v>435000</v>
      </c>
      <c r="S147" s="32">
        <v>0</v>
      </c>
      <c r="T147" s="33">
        <f t="shared" si="59"/>
        <v>0</v>
      </c>
      <c r="U147" s="33">
        <v>435000</v>
      </c>
      <c r="V147" s="32">
        <v>0</v>
      </c>
      <c r="W147" s="33">
        <f t="shared" si="60"/>
        <v>0</v>
      </c>
    </row>
    <row r="148" spans="2:23" hidden="1">
      <c r="B148" s="32" t="s">
        <v>239</v>
      </c>
      <c r="C148" s="33">
        <v>420000</v>
      </c>
      <c r="D148" s="32">
        <v>0</v>
      </c>
      <c r="E148" s="33">
        <f t="shared" si="55"/>
        <v>0</v>
      </c>
      <c r="F148" s="33">
        <v>420000</v>
      </c>
      <c r="G148" s="32">
        <v>0</v>
      </c>
      <c r="H148" s="33">
        <f t="shared" si="56"/>
        <v>0</v>
      </c>
      <c r="I148" s="33">
        <v>420000</v>
      </c>
      <c r="J148" s="32">
        <v>0</v>
      </c>
      <c r="K148" s="33">
        <f t="shared" si="57"/>
        <v>0</v>
      </c>
      <c r="N148" s="32" t="s">
        <v>239</v>
      </c>
      <c r="O148" s="33">
        <v>420000</v>
      </c>
      <c r="P148" s="32">
        <v>0</v>
      </c>
      <c r="Q148" s="33">
        <f t="shared" si="58"/>
        <v>0</v>
      </c>
      <c r="R148" s="33">
        <v>420000</v>
      </c>
      <c r="S148" s="32">
        <v>0</v>
      </c>
      <c r="T148" s="33">
        <f t="shared" si="59"/>
        <v>0</v>
      </c>
      <c r="U148" s="33">
        <v>420000</v>
      </c>
      <c r="V148" s="32">
        <v>0</v>
      </c>
      <c r="W148" s="33">
        <f t="shared" si="60"/>
        <v>0</v>
      </c>
    </row>
    <row r="149" spans="2:23" hidden="1">
      <c r="B149" s="32" t="s">
        <v>240</v>
      </c>
      <c r="C149" s="33">
        <v>450000</v>
      </c>
      <c r="D149" s="32">
        <v>0</v>
      </c>
      <c r="E149" s="33">
        <f t="shared" si="55"/>
        <v>0</v>
      </c>
      <c r="F149" s="33">
        <v>450000</v>
      </c>
      <c r="G149" s="32">
        <v>0</v>
      </c>
      <c r="H149" s="33">
        <f t="shared" si="56"/>
        <v>0</v>
      </c>
      <c r="I149" s="33">
        <v>450000</v>
      </c>
      <c r="J149" s="32">
        <v>0</v>
      </c>
      <c r="K149" s="33">
        <f t="shared" si="57"/>
        <v>0</v>
      </c>
      <c r="N149" s="32" t="s">
        <v>240</v>
      </c>
      <c r="O149" s="33">
        <v>450000</v>
      </c>
      <c r="P149" s="32">
        <v>0</v>
      </c>
      <c r="Q149" s="33">
        <f t="shared" si="58"/>
        <v>0</v>
      </c>
      <c r="R149" s="33">
        <v>450000</v>
      </c>
      <c r="S149" s="32">
        <v>0</v>
      </c>
      <c r="T149" s="33">
        <f t="shared" si="59"/>
        <v>0</v>
      </c>
      <c r="U149" s="33">
        <v>450000</v>
      </c>
      <c r="V149" s="32">
        <v>0</v>
      </c>
      <c r="W149" s="33">
        <f t="shared" si="60"/>
        <v>0</v>
      </c>
    </row>
    <row r="150" spans="2:23" hidden="1">
      <c r="B150" s="32" t="s">
        <v>241</v>
      </c>
      <c r="C150" s="33">
        <v>280000</v>
      </c>
      <c r="D150" s="32">
        <v>0</v>
      </c>
      <c r="E150" s="33">
        <f t="shared" si="55"/>
        <v>0</v>
      </c>
      <c r="F150" s="33">
        <v>280000</v>
      </c>
      <c r="G150" s="32">
        <v>0</v>
      </c>
      <c r="H150" s="33">
        <f t="shared" si="56"/>
        <v>0</v>
      </c>
      <c r="I150" s="33">
        <v>280000</v>
      </c>
      <c r="J150" s="32">
        <v>0</v>
      </c>
      <c r="K150" s="33">
        <f t="shared" si="57"/>
        <v>0</v>
      </c>
      <c r="N150" s="32" t="s">
        <v>241</v>
      </c>
      <c r="O150" s="33">
        <v>280000</v>
      </c>
      <c r="P150" s="32">
        <v>0</v>
      </c>
      <c r="Q150" s="33">
        <f t="shared" si="58"/>
        <v>0</v>
      </c>
      <c r="R150" s="33">
        <v>280000</v>
      </c>
      <c r="S150" s="32">
        <v>0</v>
      </c>
      <c r="T150" s="33">
        <f t="shared" si="59"/>
        <v>0</v>
      </c>
      <c r="U150" s="33">
        <v>280000</v>
      </c>
      <c r="V150" s="32">
        <v>0</v>
      </c>
      <c r="W150" s="33">
        <f t="shared" si="60"/>
        <v>0</v>
      </c>
    </row>
    <row r="151" spans="2:23" s="2" customFormat="1" hidden="1">
      <c r="B151" s="35"/>
      <c r="C151" s="35"/>
      <c r="D151" s="31" t="s">
        <v>48</v>
      </c>
      <c r="E151" s="36">
        <f>SUM(E142:E150)</f>
        <v>47936750</v>
      </c>
      <c r="F151" s="35"/>
      <c r="G151" s="31" t="s">
        <v>48</v>
      </c>
      <c r="H151" s="36">
        <f>SUM(H142:H150)</f>
        <v>55638252.380952403</v>
      </c>
      <c r="I151" s="35"/>
      <c r="J151" s="31" t="s">
        <v>48</v>
      </c>
      <c r="K151" s="36">
        <f>SUM(K142:K150)</f>
        <v>53819475</v>
      </c>
      <c r="N151" s="35"/>
      <c r="O151" s="35"/>
      <c r="P151" s="31" t="s">
        <v>48</v>
      </c>
      <c r="Q151" s="36">
        <f>SUM(Q142:Q150)</f>
        <v>47821750</v>
      </c>
      <c r="R151" s="35"/>
      <c r="S151" s="31" t="s">
        <v>48</v>
      </c>
      <c r="T151" s="51">
        <f>SUM(T142:T150)</f>
        <v>55523252.380952403</v>
      </c>
      <c r="U151" s="35"/>
      <c r="V151" s="31" t="s">
        <v>48</v>
      </c>
      <c r="W151" s="36">
        <f>SUM(W142:W150)</f>
        <v>53589475</v>
      </c>
    </row>
    <row r="152" spans="2:23" hidden="1">
      <c r="K152" s="49">
        <f>(E151+H151+K151)/3</f>
        <v>52464825.793650806</v>
      </c>
      <c r="W152" s="49">
        <f>(Q151+T151+W151)/3</f>
        <v>52311492.46031747</v>
      </c>
    </row>
    <row r="153" spans="2:23" hidden="1"/>
    <row r="154" spans="2:23" hidden="1">
      <c r="C154" s="29" t="s">
        <v>280</v>
      </c>
      <c r="F154" s="29" t="s">
        <v>281</v>
      </c>
      <c r="I154" s="29" t="s">
        <v>282</v>
      </c>
      <c r="K154" s="49"/>
      <c r="W154" s="49"/>
    </row>
    <row r="155" spans="2:23" hidden="1">
      <c r="B155" s="340" t="s">
        <v>284</v>
      </c>
      <c r="C155" s="330" t="s">
        <v>10</v>
      </c>
      <c r="D155" s="331"/>
      <c r="E155" s="332"/>
      <c r="F155" s="330" t="s">
        <v>15</v>
      </c>
      <c r="G155" s="331"/>
      <c r="H155" s="332"/>
      <c r="I155" s="330" t="s">
        <v>17</v>
      </c>
      <c r="J155" s="331"/>
      <c r="K155" s="332"/>
      <c r="N155" s="340" t="s">
        <v>284</v>
      </c>
      <c r="O155" s="330" t="s">
        <v>10</v>
      </c>
      <c r="P155" s="331"/>
      <c r="Q155" s="332"/>
      <c r="R155" s="330" t="s">
        <v>15</v>
      </c>
      <c r="S155" s="331"/>
      <c r="T155" s="332"/>
      <c r="U155" s="330" t="s">
        <v>17</v>
      </c>
      <c r="V155" s="331"/>
      <c r="W155" s="332"/>
    </row>
    <row r="156" spans="2:23" hidden="1">
      <c r="B156" s="341"/>
      <c r="C156" s="30" t="s">
        <v>180</v>
      </c>
      <c r="D156" s="31" t="s">
        <v>41</v>
      </c>
      <c r="E156" s="31" t="s">
        <v>44</v>
      </c>
      <c r="F156" s="30" t="s">
        <v>180</v>
      </c>
      <c r="G156" s="31" t="s">
        <v>41</v>
      </c>
      <c r="H156" s="31" t="s">
        <v>44</v>
      </c>
      <c r="I156" s="30" t="s">
        <v>180</v>
      </c>
      <c r="J156" s="31" t="s">
        <v>41</v>
      </c>
      <c r="K156" s="31" t="s">
        <v>44</v>
      </c>
      <c r="N156" s="341"/>
      <c r="O156" s="30" t="s">
        <v>180</v>
      </c>
      <c r="P156" s="31" t="s">
        <v>41</v>
      </c>
      <c r="Q156" s="31" t="s">
        <v>44</v>
      </c>
      <c r="R156" s="30" t="s">
        <v>180</v>
      </c>
      <c r="S156" s="31" t="s">
        <v>41</v>
      </c>
      <c r="T156" s="31" t="s">
        <v>44</v>
      </c>
      <c r="U156" s="30" t="s">
        <v>180</v>
      </c>
      <c r="V156" s="31" t="s">
        <v>41</v>
      </c>
      <c r="W156" s="31" t="s">
        <v>44</v>
      </c>
    </row>
    <row r="157" spans="2:23" hidden="1">
      <c r="B157" s="32" t="s">
        <v>233</v>
      </c>
      <c r="C157" s="33">
        <v>36318400</v>
      </c>
      <c r="D157" s="32">
        <v>1</v>
      </c>
      <c r="E157" s="33">
        <f t="shared" ref="E157:E165" si="61">+C157*D157</f>
        <v>36318400</v>
      </c>
      <c r="F157" s="33">
        <v>38905952.380952403</v>
      </c>
      <c r="G157" s="32">
        <v>1</v>
      </c>
      <c r="H157" s="33">
        <f t="shared" ref="H157:H165" si="62">+F157*G157</f>
        <v>38905952.380952403</v>
      </c>
      <c r="I157" s="33">
        <v>39430125</v>
      </c>
      <c r="J157" s="32">
        <v>1</v>
      </c>
      <c r="K157" s="33">
        <f t="shared" ref="K157:K165" si="63">+I157*J157</f>
        <v>39430125</v>
      </c>
      <c r="N157" s="32" t="s">
        <v>233</v>
      </c>
      <c r="O157" s="33">
        <v>36318400</v>
      </c>
      <c r="P157" s="32">
        <v>1</v>
      </c>
      <c r="Q157" s="33">
        <f t="shared" ref="Q157:Q165" si="64">+O157*P157</f>
        <v>36318400</v>
      </c>
      <c r="R157" s="33">
        <v>38905952.380952403</v>
      </c>
      <c r="S157" s="32">
        <v>1</v>
      </c>
      <c r="T157" s="33">
        <f t="shared" ref="T157:T165" si="65">+R157*S157</f>
        <v>38905952.380952403</v>
      </c>
      <c r="U157" s="33">
        <v>39430125</v>
      </c>
      <c r="V157" s="32">
        <v>1</v>
      </c>
      <c r="W157" s="33">
        <f t="shared" ref="W157:W165" si="66">+U157*V157</f>
        <v>39430125</v>
      </c>
    </row>
    <row r="158" spans="2:23" hidden="1">
      <c r="B158" s="32" t="s">
        <v>234</v>
      </c>
      <c r="C158" s="33">
        <v>7904650</v>
      </c>
      <c r="D158" s="32">
        <v>1</v>
      </c>
      <c r="E158" s="33">
        <f t="shared" si="61"/>
        <v>7904650</v>
      </c>
      <c r="F158" s="33">
        <v>10550000</v>
      </c>
      <c r="G158" s="32">
        <v>1</v>
      </c>
      <c r="H158" s="33">
        <f t="shared" si="62"/>
        <v>10550000</v>
      </c>
      <c r="I158" s="33">
        <v>9766375</v>
      </c>
      <c r="J158" s="32">
        <v>1</v>
      </c>
      <c r="K158" s="33">
        <f t="shared" si="63"/>
        <v>9766375</v>
      </c>
      <c r="N158" s="32" t="s">
        <v>234</v>
      </c>
      <c r="O158" s="33">
        <v>7904650</v>
      </c>
      <c r="P158" s="32">
        <v>1</v>
      </c>
      <c r="Q158" s="33">
        <f t="shared" si="64"/>
        <v>7904650</v>
      </c>
      <c r="R158" s="33">
        <v>10550000</v>
      </c>
      <c r="S158" s="32">
        <v>1</v>
      </c>
      <c r="T158" s="33">
        <f t="shared" si="65"/>
        <v>10550000</v>
      </c>
      <c r="U158" s="33">
        <v>9766375</v>
      </c>
      <c r="V158" s="32">
        <v>1</v>
      </c>
      <c r="W158" s="33">
        <f t="shared" si="66"/>
        <v>9766375</v>
      </c>
    </row>
    <row r="159" spans="2:23" hidden="1">
      <c r="B159" s="32" t="s">
        <v>235</v>
      </c>
      <c r="C159" s="33">
        <v>6600</v>
      </c>
      <c r="D159" s="32">
        <v>0</v>
      </c>
      <c r="E159" s="33">
        <f t="shared" si="61"/>
        <v>0</v>
      </c>
      <c r="F159" s="33">
        <v>6600</v>
      </c>
      <c r="G159" s="32">
        <v>0</v>
      </c>
      <c r="H159" s="33">
        <f t="shared" si="62"/>
        <v>0</v>
      </c>
      <c r="I159" s="33">
        <v>6600</v>
      </c>
      <c r="J159" s="32">
        <v>0</v>
      </c>
      <c r="K159" s="33">
        <f t="shared" si="63"/>
        <v>0</v>
      </c>
      <c r="N159" s="32" t="s">
        <v>235</v>
      </c>
      <c r="O159" s="33">
        <v>4300</v>
      </c>
      <c r="P159" s="32">
        <v>0</v>
      </c>
      <c r="Q159" s="33">
        <f t="shared" si="64"/>
        <v>0</v>
      </c>
      <c r="R159" s="33">
        <v>4300</v>
      </c>
      <c r="S159" s="32">
        <v>0</v>
      </c>
      <c r="T159" s="33">
        <f t="shared" si="65"/>
        <v>0</v>
      </c>
      <c r="U159" s="33">
        <v>4300</v>
      </c>
      <c r="V159" s="32">
        <v>0</v>
      </c>
      <c r="W159" s="33">
        <f t="shared" si="66"/>
        <v>0</v>
      </c>
    </row>
    <row r="160" spans="2:23" hidden="1">
      <c r="B160" s="32" t="s">
        <v>236</v>
      </c>
      <c r="C160" s="33">
        <v>80300</v>
      </c>
      <c r="D160" s="32">
        <v>19</v>
      </c>
      <c r="E160" s="33">
        <f t="shared" si="61"/>
        <v>1525700</v>
      </c>
      <c r="F160" s="33">
        <v>80300</v>
      </c>
      <c r="G160" s="32">
        <v>41</v>
      </c>
      <c r="H160" s="33">
        <f t="shared" si="62"/>
        <v>3292300</v>
      </c>
      <c r="I160" s="33">
        <v>80300</v>
      </c>
      <c r="J160" s="32">
        <v>12</v>
      </c>
      <c r="K160" s="33">
        <f t="shared" si="63"/>
        <v>963600</v>
      </c>
      <c r="N160" s="32" t="s">
        <v>236</v>
      </c>
      <c r="O160" s="33">
        <v>80300</v>
      </c>
      <c r="P160" s="32">
        <v>19</v>
      </c>
      <c r="Q160" s="33">
        <f t="shared" si="64"/>
        <v>1525700</v>
      </c>
      <c r="R160" s="33">
        <v>80300</v>
      </c>
      <c r="S160" s="32">
        <v>41</v>
      </c>
      <c r="T160" s="33">
        <f t="shared" si="65"/>
        <v>3292300</v>
      </c>
      <c r="U160" s="33">
        <v>80300</v>
      </c>
      <c r="V160" s="32">
        <v>12</v>
      </c>
      <c r="W160" s="33">
        <f t="shared" si="66"/>
        <v>963600</v>
      </c>
    </row>
    <row r="161" spans="2:23" hidden="1">
      <c r="B161" s="32" t="s">
        <v>237</v>
      </c>
      <c r="C161" s="33">
        <v>1100000</v>
      </c>
      <c r="D161" s="32">
        <v>0.5</v>
      </c>
      <c r="E161" s="33">
        <f t="shared" si="61"/>
        <v>550000</v>
      </c>
      <c r="F161" s="33">
        <v>1100000</v>
      </c>
      <c r="G161" s="32">
        <v>0.5</v>
      </c>
      <c r="H161" s="33">
        <f t="shared" si="62"/>
        <v>550000</v>
      </c>
      <c r="I161" s="33">
        <v>1100000</v>
      </c>
      <c r="J161" s="32">
        <v>1</v>
      </c>
      <c r="K161" s="33">
        <f t="shared" si="63"/>
        <v>1100000</v>
      </c>
      <c r="N161" s="32" t="s">
        <v>237</v>
      </c>
      <c r="O161" s="33">
        <v>870000</v>
      </c>
      <c r="P161" s="32">
        <v>0.5</v>
      </c>
      <c r="Q161" s="33">
        <f t="shared" si="64"/>
        <v>435000</v>
      </c>
      <c r="R161" s="33">
        <v>870000</v>
      </c>
      <c r="S161" s="32">
        <v>0.5</v>
      </c>
      <c r="T161" s="33">
        <f t="shared" si="65"/>
        <v>435000</v>
      </c>
      <c r="U161" s="33">
        <v>870000</v>
      </c>
      <c r="V161" s="32">
        <v>1</v>
      </c>
      <c r="W161" s="33">
        <f t="shared" si="66"/>
        <v>870000</v>
      </c>
    </row>
    <row r="162" spans="2:23" hidden="1">
      <c r="B162" s="32" t="s">
        <v>238</v>
      </c>
      <c r="C162" s="33">
        <v>550000</v>
      </c>
      <c r="D162" s="32">
        <v>0</v>
      </c>
      <c r="E162" s="33">
        <f t="shared" si="61"/>
        <v>0</v>
      </c>
      <c r="F162" s="33">
        <v>550000</v>
      </c>
      <c r="G162" s="32">
        <v>0</v>
      </c>
      <c r="H162" s="33">
        <f t="shared" si="62"/>
        <v>0</v>
      </c>
      <c r="I162" s="33">
        <v>550000</v>
      </c>
      <c r="J162" s="32">
        <v>0</v>
      </c>
      <c r="K162" s="33">
        <f t="shared" si="63"/>
        <v>0</v>
      </c>
      <c r="N162" s="32" t="s">
        <v>238</v>
      </c>
      <c r="O162" s="33">
        <v>435000</v>
      </c>
      <c r="P162" s="32">
        <v>0</v>
      </c>
      <c r="Q162" s="33">
        <f t="shared" si="64"/>
        <v>0</v>
      </c>
      <c r="R162" s="33">
        <v>435000</v>
      </c>
      <c r="S162" s="32">
        <v>0</v>
      </c>
      <c r="T162" s="33">
        <f t="shared" si="65"/>
        <v>0</v>
      </c>
      <c r="U162" s="33">
        <v>435000</v>
      </c>
      <c r="V162" s="32">
        <v>0</v>
      </c>
      <c r="W162" s="33">
        <f t="shared" si="66"/>
        <v>0</v>
      </c>
    </row>
    <row r="163" spans="2:23" hidden="1">
      <c r="B163" s="32" t="s">
        <v>239</v>
      </c>
      <c r="C163" s="33">
        <v>420000</v>
      </c>
      <c r="D163" s="32">
        <v>0</v>
      </c>
      <c r="E163" s="33">
        <f t="shared" si="61"/>
        <v>0</v>
      </c>
      <c r="F163" s="33">
        <v>420000</v>
      </c>
      <c r="G163" s="32">
        <v>0</v>
      </c>
      <c r="H163" s="33">
        <f t="shared" si="62"/>
        <v>0</v>
      </c>
      <c r="I163" s="33">
        <v>420000</v>
      </c>
      <c r="J163" s="32">
        <v>0</v>
      </c>
      <c r="K163" s="33">
        <f t="shared" si="63"/>
        <v>0</v>
      </c>
      <c r="N163" s="32" t="s">
        <v>239</v>
      </c>
      <c r="O163" s="33">
        <v>420000</v>
      </c>
      <c r="P163" s="32">
        <v>0</v>
      </c>
      <c r="Q163" s="33">
        <f t="shared" si="64"/>
        <v>0</v>
      </c>
      <c r="R163" s="33">
        <v>420000</v>
      </c>
      <c r="S163" s="32">
        <v>0</v>
      </c>
      <c r="T163" s="33">
        <f t="shared" si="65"/>
        <v>0</v>
      </c>
      <c r="U163" s="33">
        <v>420000</v>
      </c>
      <c r="V163" s="32">
        <v>0</v>
      </c>
      <c r="W163" s="33">
        <f t="shared" si="66"/>
        <v>0</v>
      </c>
    </row>
    <row r="164" spans="2:23" hidden="1">
      <c r="B164" s="32" t="s">
        <v>240</v>
      </c>
      <c r="C164" s="33">
        <v>450000</v>
      </c>
      <c r="D164" s="32">
        <v>0</v>
      </c>
      <c r="E164" s="33">
        <f t="shared" si="61"/>
        <v>0</v>
      </c>
      <c r="F164" s="33">
        <v>450000</v>
      </c>
      <c r="G164" s="32">
        <v>0</v>
      </c>
      <c r="H164" s="33">
        <f t="shared" si="62"/>
        <v>0</v>
      </c>
      <c r="I164" s="33">
        <v>450000</v>
      </c>
      <c r="J164" s="32">
        <v>0</v>
      </c>
      <c r="K164" s="33">
        <f t="shared" si="63"/>
        <v>0</v>
      </c>
      <c r="N164" s="32" t="s">
        <v>240</v>
      </c>
      <c r="O164" s="33">
        <v>450000</v>
      </c>
      <c r="P164" s="32">
        <v>0</v>
      </c>
      <c r="Q164" s="33">
        <f t="shared" si="64"/>
        <v>0</v>
      </c>
      <c r="R164" s="33">
        <v>450000</v>
      </c>
      <c r="S164" s="32">
        <v>0</v>
      </c>
      <c r="T164" s="33">
        <f t="shared" si="65"/>
        <v>0</v>
      </c>
      <c r="U164" s="33">
        <v>450000</v>
      </c>
      <c r="V164" s="32">
        <v>0</v>
      </c>
      <c r="W164" s="33">
        <f t="shared" si="66"/>
        <v>0</v>
      </c>
    </row>
    <row r="165" spans="2:23" hidden="1">
      <c r="B165" s="32" t="s">
        <v>241</v>
      </c>
      <c r="C165" s="33">
        <v>280000</v>
      </c>
      <c r="D165" s="32">
        <v>0</v>
      </c>
      <c r="E165" s="33">
        <f t="shared" si="61"/>
        <v>0</v>
      </c>
      <c r="F165" s="33">
        <v>280000</v>
      </c>
      <c r="G165" s="32">
        <v>0</v>
      </c>
      <c r="H165" s="33">
        <f t="shared" si="62"/>
        <v>0</v>
      </c>
      <c r="I165" s="33">
        <v>280000</v>
      </c>
      <c r="J165" s="32">
        <v>0</v>
      </c>
      <c r="K165" s="33">
        <f t="shared" si="63"/>
        <v>0</v>
      </c>
      <c r="N165" s="32" t="s">
        <v>241</v>
      </c>
      <c r="O165" s="33">
        <v>280000</v>
      </c>
      <c r="P165" s="32">
        <v>0</v>
      </c>
      <c r="Q165" s="33">
        <f t="shared" si="64"/>
        <v>0</v>
      </c>
      <c r="R165" s="33">
        <v>280000</v>
      </c>
      <c r="S165" s="32">
        <v>0</v>
      </c>
      <c r="T165" s="33">
        <f t="shared" si="65"/>
        <v>0</v>
      </c>
      <c r="U165" s="33">
        <v>280000</v>
      </c>
      <c r="V165" s="32">
        <v>0</v>
      </c>
      <c r="W165" s="33">
        <f t="shared" si="66"/>
        <v>0</v>
      </c>
    </row>
    <row r="166" spans="2:23" s="2" customFormat="1" hidden="1">
      <c r="B166" s="35"/>
      <c r="C166" s="35"/>
      <c r="D166" s="31" t="s">
        <v>48</v>
      </c>
      <c r="E166" s="36">
        <f>SUM(E157:E165)</f>
        <v>46298750</v>
      </c>
      <c r="F166" s="35"/>
      <c r="G166" s="31" t="s">
        <v>48</v>
      </c>
      <c r="H166" s="36">
        <f>SUM(H157:H165)</f>
        <v>53298252.380952403</v>
      </c>
      <c r="I166" s="35"/>
      <c r="J166" s="31" t="s">
        <v>48</v>
      </c>
      <c r="K166" s="36">
        <f>SUM(K157:K165)</f>
        <v>51260100</v>
      </c>
      <c r="N166" s="35"/>
      <c r="O166" s="35"/>
      <c r="P166" s="31" t="s">
        <v>48</v>
      </c>
      <c r="Q166" s="36">
        <f>SUM(Q157:Q165)</f>
        <v>46183750</v>
      </c>
      <c r="R166" s="35"/>
      <c r="S166" s="31" t="s">
        <v>48</v>
      </c>
      <c r="T166" s="51">
        <f>SUM(T157:T165)</f>
        <v>53183252.380952403</v>
      </c>
      <c r="U166" s="35"/>
      <c r="V166" s="31" t="s">
        <v>48</v>
      </c>
      <c r="W166" s="36">
        <f>SUM(W157:W165)</f>
        <v>51030100</v>
      </c>
    </row>
    <row r="167" spans="2:23" s="2" customFormat="1" hidden="1">
      <c r="D167" s="46"/>
      <c r="E167" s="48"/>
      <c r="G167" s="46"/>
      <c r="H167" s="48"/>
      <c r="J167" s="46"/>
      <c r="K167" s="49">
        <f>(E166+H166+K166)/3</f>
        <v>50285700.793650806</v>
      </c>
      <c r="P167" s="46"/>
      <c r="Q167" s="48"/>
      <c r="S167" s="46"/>
      <c r="T167" s="67"/>
      <c r="V167" s="46"/>
      <c r="W167" s="49">
        <f>(Q166+T166+W166)/3</f>
        <v>50132367.46031747</v>
      </c>
    </row>
    <row r="168" spans="2:23" hidden="1"/>
  </sheetData>
  <mergeCells count="92">
    <mergeCell ref="U155:W155"/>
    <mergeCell ref="B4:B5"/>
    <mergeCell ref="B19:B20"/>
    <mergeCell ref="B34:B35"/>
    <mergeCell ref="B48:B49"/>
    <mergeCell ref="B62:B63"/>
    <mergeCell ref="B78:B79"/>
    <mergeCell ref="B92:B93"/>
    <mergeCell ref="B107:B108"/>
    <mergeCell ref="B122:B123"/>
    <mergeCell ref="B140:B141"/>
    <mergeCell ref="B155:B156"/>
    <mergeCell ref="N4:N5"/>
    <mergeCell ref="N19:N20"/>
    <mergeCell ref="N34:N35"/>
    <mergeCell ref="N48:N49"/>
    <mergeCell ref="C155:E155"/>
    <mergeCell ref="F155:H155"/>
    <mergeCell ref="I155:K155"/>
    <mergeCell ref="O155:Q155"/>
    <mergeCell ref="R155:T155"/>
    <mergeCell ref="N155:N156"/>
    <mergeCell ref="V122:X122"/>
    <mergeCell ref="C140:E140"/>
    <mergeCell ref="F140:H140"/>
    <mergeCell ref="I140:K140"/>
    <mergeCell ref="O140:Q140"/>
    <mergeCell ref="R140:T140"/>
    <mergeCell ref="U140:W140"/>
    <mergeCell ref="N140:N141"/>
    <mergeCell ref="L107:N107"/>
    <mergeCell ref="O107:Q107"/>
    <mergeCell ref="C122:E122"/>
    <mergeCell ref="F122:H122"/>
    <mergeCell ref="I122:K122"/>
    <mergeCell ref="L122:N122"/>
    <mergeCell ref="O122:Q122"/>
    <mergeCell ref="C92:E92"/>
    <mergeCell ref="F92:H92"/>
    <mergeCell ref="I92:K92"/>
    <mergeCell ref="C107:E107"/>
    <mergeCell ref="F107:H107"/>
    <mergeCell ref="I107:K107"/>
    <mergeCell ref="U62:W62"/>
    <mergeCell ref="C78:E78"/>
    <mergeCell ref="F78:H78"/>
    <mergeCell ref="I78:K78"/>
    <mergeCell ref="O78:Q78"/>
    <mergeCell ref="R78:T78"/>
    <mergeCell ref="U78:W78"/>
    <mergeCell ref="N62:N63"/>
    <mergeCell ref="N78:N79"/>
    <mergeCell ref="C62:E62"/>
    <mergeCell ref="F62:H62"/>
    <mergeCell ref="I62:K62"/>
    <mergeCell ref="O62:Q62"/>
    <mergeCell ref="R62:T62"/>
    <mergeCell ref="C34:E34"/>
    <mergeCell ref="F34:H34"/>
    <mergeCell ref="I34:K34"/>
    <mergeCell ref="O34:Q34"/>
    <mergeCell ref="R34:T34"/>
    <mergeCell ref="U48:W48"/>
    <mergeCell ref="AC48:AE48"/>
    <mergeCell ref="AF48:AH48"/>
    <mergeCell ref="AI48:AK48"/>
    <mergeCell ref="Z34:Z35"/>
    <mergeCell ref="C48:E48"/>
    <mergeCell ref="F48:H48"/>
    <mergeCell ref="I48:K48"/>
    <mergeCell ref="O48:Q48"/>
    <mergeCell ref="R48:T48"/>
    <mergeCell ref="U4:W4"/>
    <mergeCell ref="Z4:AB4"/>
    <mergeCell ref="U34:W34"/>
    <mergeCell ref="AA34:AC34"/>
    <mergeCell ref="AC4:AE4"/>
    <mergeCell ref="AD34:AF34"/>
    <mergeCell ref="AF4:AH4"/>
    <mergeCell ref="U19:W19"/>
    <mergeCell ref="Y4:Y5"/>
    <mergeCell ref="AG34:AI34"/>
    <mergeCell ref="C19:E19"/>
    <mergeCell ref="F19:H19"/>
    <mergeCell ref="I19:K19"/>
    <mergeCell ref="O19:Q19"/>
    <mergeCell ref="R19:T19"/>
    <mergeCell ref="C4:E4"/>
    <mergeCell ref="F4:H4"/>
    <mergeCell ref="I4:K4"/>
    <mergeCell ref="O4:Q4"/>
    <mergeCell ref="R4:T4"/>
  </mergeCells>
  <pageMargins left="0.7" right="0.7" top="0.75" bottom="0.75" header="0.3" footer="0.3"/>
  <pageSetup paperSize="9" scale="26" fitToHeight="0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P171"/>
  <sheetViews>
    <sheetView showGridLines="0" topLeftCell="L82" zoomScale="85" zoomScaleNormal="85" workbookViewId="0">
      <selection activeCell="W112" sqref="W112"/>
    </sheetView>
  </sheetViews>
  <sheetFormatPr defaultColWidth="9" defaultRowHeight="15.75"/>
  <cols>
    <col min="1" max="1" width="9" style="29"/>
    <col min="2" max="2" width="37" style="29" customWidth="1"/>
    <col min="3" max="3" width="14.5703125" style="29" customWidth="1"/>
    <col min="4" max="4" width="8.85546875" style="29" customWidth="1"/>
    <col min="5" max="5" width="15.7109375" style="29" customWidth="1"/>
    <col min="6" max="6" width="14.5703125" style="29" customWidth="1"/>
    <col min="7" max="7" width="8" style="29" customWidth="1"/>
    <col min="8" max="8" width="15.7109375" style="29" customWidth="1"/>
    <col min="9" max="9" width="14.5703125" style="29" customWidth="1"/>
    <col min="10" max="10" width="8.28515625" style="29" customWidth="1"/>
    <col min="11" max="11" width="15.7109375" style="29" customWidth="1"/>
    <col min="12" max="12" width="15.28515625" style="29" customWidth="1"/>
    <col min="13" max="13" width="9" style="29"/>
    <col min="14" max="14" width="31.85546875" style="29" customWidth="1"/>
    <col min="15" max="15" width="14.5703125" style="29" customWidth="1"/>
    <col min="16" max="16" width="8.85546875" style="29" customWidth="1"/>
    <col min="17" max="17" width="15.7109375" style="29" customWidth="1"/>
    <col min="18" max="18" width="14.5703125" style="29" customWidth="1"/>
    <col min="19" max="19" width="8" style="29" customWidth="1"/>
    <col min="20" max="20" width="16.42578125" style="29" customWidth="1"/>
    <col min="21" max="21" width="14.5703125" style="29" customWidth="1"/>
    <col min="22" max="22" width="12" style="29" customWidth="1"/>
    <col min="23" max="23" width="15.7109375" style="29" customWidth="1"/>
    <col min="24" max="24" width="13" style="29" customWidth="1"/>
    <col min="25" max="26" width="9" style="29"/>
    <col min="27" max="27" width="15.28515625" style="29" customWidth="1"/>
    <col min="28" max="28" width="9" style="29"/>
    <col min="29" max="29" width="22.85546875" style="29" customWidth="1"/>
    <col min="30" max="30" width="9" style="29"/>
    <col min="31" max="31" width="15.28515625" style="29" customWidth="1"/>
    <col min="32" max="32" width="9" style="29"/>
    <col min="33" max="33" width="22.85546875" style="29" customWidth="1"/>
    <col min="34" max="34" width="9" style="29"/>
    <col min="35" max="35" width="15.28515625" style="29" customWidth="1"/>
    <col min="36" max="36" width="14.5703125" style="29" customWidth="1"/>
    <col min="37" max="37" width="8.85546875" style="29" customWidth="1"/>
    <col min="38" max="38" width="15.7109375" style="29" customWidth="1"/>
    <col min="39" max="39" width="15.28515625" style="29" customWidth="1"/>
    <col min="40" max="40" width="9" style="29"/>
    <col min="41" max="41" width="22.85546875" style="29" customWidth="1"/>
    <col min="42" max="16384" width="9" style="29"/>
  </cols>
  <sheetData>
    <row r="2" spans="2:23">
      <c r="B2" s="29" t="s">
        <v>326</v>
      </c>
    </row>
    <row r="3" spans="2:23">
      <c r="B3" s="2" t="s">
        <v>227</v>
      </c>
      <c r="N3" s="2" t="s">
        <v>230</v>
      </c>
    </row>
    <row r="4" spans="2:23" hidden="1">
      <c r="B4" s="379" t="s">
        <v>299</v>
      </c>
      <c r="C4" s="330" t="s">
        <v>10</v>
      </c>
      <c r="D4" s="331"/>
      <c r="E4" s="332"/>
      <c r="F4" s="330" t="s">
        <v>15</v>
      </c>
      <c r="G4" s="331"/>
      <c r="H4" s="332"/>
      <c r="I4" s="330" t="s">
        <v>17</v>
      </c>
      <c r="J4" s="331"/>
      <c r="K4" s="332"/>
      <c r="N4" s="379" t="s">
        <v>300</v>
      </c>
      <c r="O4" s="330" t="s">
        <v>10</v>
      </c>
      <c r="P4" s="331"/>
      <c r="Q4" s="332"/>
      <c r="R4" s="330" t="s">
        <v>15</v>
      </c>
      <c r="S4" s="331"/>
      <c r="T4" s="332"/>
      <c r="U4" s="330" t="s">
        <v>17</v>
      </c>
      <c r="V4" s="331"/>
      <c r="W4" s="332"/>
    </row>
    <row r="5" spans="2:23" hidden="1">
      <c r="B5" s="380"/>
      <c r="C5" s="30" t="s">
        <v>180</v>
      </c>
      <c r="D5" s="31" t="s">
        <v>41</v>
      </c>
      <c r="E5" s="31" t="s">
        <v>44</v>
      </c>
      <c r="F5" s="30" t="s">
        <v>180</v>
      </c>
      <c r="G5" s="31" t="s">
        <v>41</v>
      </c>
      <c r="H5" s="31" t="s">
        <v>44</v>
      </c>
      <c r="I5" s="30" t="s">
        <v>180</v>
      </c>
      <c r="J5" s="31" t="s">
        <v>41</v>
      </c>
      <c r="K5" s="31" t="s">
        <v>44</v>
      </c>
      <c r="N5" s="380"/>
      <c r="O5" s="30" t="s">
        <v>180</v>
      </c>
      <c r="P5" s="31" t="s">
        <v>41</v>
      </c>
      <c r="Q5" s="31" t="s">
        <v>44</v>
      </c>
      <c r="R5" s="30" t="s">
        <v>180</v>
      </c>
      <c r="S5" s="31" t="s">
        <v>41</v>
      </c>
      <c r="T5" s="31" t="s">
        <v>44</v>
      </c>
      <c r="U5" s="30" t="s">
        <v>180</v>
      </c>
      <c r="V5" s="31" t="s">
        <v>41</v>
      </c>
      <c r="W5" s="31" t="s">
        <v>44</v>
      </c>
    </row>
    <row r="6" spans="2:23" hidden="1">
      <c r="B6" s="32" t="s">
        <v>233</v>
      </c>
      <c r="C6" s="33">
        <v>578120000</v>
      </c>
      <c r="D6" s="32">
        <v>1</v>
      </c>
      <c r="E6" s="33">
        <f t="shared" ref="E6:E14" si="0">+C6*D6</f>
        <v>578120000</v>
      </c>
      <c r="F6" s="33">
        <v>630240000</v>
      </c>
      <c r="G6" s="32">
        <v>1</v>
      </c>
      <c r="H6" s="33">
        <f t="shared" ref="H6:H14" si="1">+F6*G6</f>
        <v>630240000</v>
      </c>
      <c r="I6" s="33">
        <v>194600000</v>
      </c>
      <c r="J6" s="32">
        <v>1</v>
      </c>
      <c r="K6" s="33">
        <f t="shared" ref="K6:K14" si="2">+I6*J6</f>
        <v>194600000</v>
      </c>
      <c r="N6" s="32" t="s">
        <v>233</v>
      </c>
      <c r="O6" s="33">
        <v>347600000</v>
      </c>
      <c r="P6" s="32">
        <v>1</v>
      </c>
      <c r="Q6" s="33">
        <f t="shared" ref="Q6:Q14" si="3">+O6*P6</f>
        <v>347600000</v>
      </c>
      <c r="R6" s="33">
        <v>259240000</v>
      </c>
      <c r="S6" s="32">
        <v>1</v>
      </c>
      <c r="T6" s="33">
        <f t="shared" ref="T6:T14" si="4">+R6*S6</f>
        <v>259240000</v>
      </c>
      <c r="U6" s="33">
        <v>74440000</v>
      </c>
      <c r="V6" s="32">
        <v>1</v>
      </c>
      <c r="W6" s="33">
        <f t="shared" ref="W6:W14" si="5">+U6*V6</f>
        <v>74440000</v>
      </c>
    </row>
    <row r="7" spans="2:23" hidden="1">
      <c r="B7" s="32" t="s">
        <v>234</v>
      </c>
      <c r="C7" s="33">
        <v>179570093</v>
      </c>
      <c r="D7" s="32">
        <v>1</v>
      </c>
      <c r="E7" s="33">
        <f t="shared" si="0"/>
        <v>179570093</v>
      </c>
      <c r="F7" s="33">
        <v>254238552</v>
      </c>
      <c r="G7" s="32">
        <v>1</v>
      </c>
      <c r="H7" s="33">
        <f t="shared" si="1"/>
        <v>254238552</v>
      </c>
      <c r="I7" s="33">
        <v>67589568</v>
      </c>
      <c r="J7" s="32">
        <v>1</v>
      </c>
      <c r="K7" s="33">
        <f t="shared" si="2"/>
        <v>67589568</v>
      </c>
      <c r="N7" s="32" t="s">
        <v>234</v>
      </c>
      <c r="O7" s="33">
        <v>96989549</v>
      </c>
      <c r="P7" s="32">
        <v>1</v>
      </c>
      <c r="Q7" s="33">
        <f t="shared" si="3"/>
        <v>96989549</v>
      </c>
      <c r="R7" s="33">
        <v>90580536</v>
      </c>
      <c r="S7" s="32">
        <v>1</v>
      </c>
      <c r="T7" s="33">
        <f t="shared" si="4"/>
        <v>90580536</v>
      </c>
      <c r="U7" s="33">
        <v>19668096</v>
      </c>
      <c r="V7" s="32">
        <v>1</v>
      </c>
      <c r="W7" s="33">
        <f t="shared" si="5"/>
        <v>19668096</v>
      </c>
    </row>
    <row r="8" spans="2:23" hidden="1">
      <c r="B8" s="32" t="s">
        <v>235</v>
      </c>
      <c r="C8" s="33">
        <v>6600</v>
      </c>
      <c r="D8" s="32">
        <v>0</v>
      </c>
      <c r="E8" s="33">
        <f t="shared" si="0"/>
        <v>0</v>
      </c>
      <c r="F8" s="33">
        <v>6600</v>
      </c>
      <c r="G8" s="32">
        <v>0</v>
      </c>
      <c r="H8" s="33">
        <f t="shared" si="1"/>
        <v>0</v>
      </c>
      <c r="I8" s="33">
        <v>6600</v>
      </c>
      <c r="J8" s="32">
        <v>0</v>
      </c>
      <c r="K8" s="33">
        <f t="shared" si="2"/>
        <v>0</v>
      </c>
      <c r="N8" s="32" t="s">
        <v>235</v>
      </c>
      <c r="O8" s="33">
        <v>6600</v>
      </c>
      <c r="P8" s="32">
        <v>0</v>
      </c>
      <c r="Q8" s="33">
        <f t="shared" si="3"/>
        <v>0</v>
      </c>
      <c r="R8" s="33">
        <v>6600</v>
      </c>
      <c r="S8" s="32">
        <v>0</v>
      </c>
      <c r="T8" s="33">
        <f t="shared" si="4"/>
        <v>0</v>
      </c>
      <c r="U8" s="33">
        <v>6600</v>
      </c>
      <c r="V8" s="32">
        <v>0</v>
      </c>
      <c r="W8" s="33">
        <f t="shared" si="5"/>
        <v>0</v>
      </c>
    </row>
    <row r="9" spans="2:23" hidden="1">
      <c r="B9" s="32" t="s">
        <v>236</v>
      </c>
      <c r="C9" s="33">
        <v>80300</v>
      </c>
      <c r="D9" s="61">
        <f>OT!E17</f>
        <v>372.56543542074348</v>
      </c>
      <c r="E9" s="33">
        <f t="shared" si="0"/>
        <v>29917004.464285702</v>
      </c>
      <c r="F9" s="33">
        <v>80300</v>
      </c>
      <c r="G9" s="32">
        <v>733</v>
      </c>
      <c r="H9" s="33">
        <f t="shared" si="1"/>
        <v>58859900</v>
      </c>
      <c r="I9" s="33">
        <v>80300</v>
      </c>
      <c r="J9" s="32">
        <v>144</v>
      </c>
      <c r="K9" s="33">
        <f t="shared" si="2"/>
        <v>11563200</v>
      </c>
      <c r="N9" s="32" t="s">
        <v>236</v>
      </c>
      <c r="O9" s="33">
        <v>80300</v>
      </c>
      <c r="P9" s="61">
        <f>D9</f>
        <v>372.56543542074348</v>
      </c>
      <c r="Q9" s="33">
        <f t="shared" si="3"/>
        <v>29917004.464285702</v>
      </c>
      <c r="R9" s="33">
        <v>80300</v>
      </c>
      <c r="S9" s="64">
        <f>G24</f>
        <v>647.20000000000005</v>
      </c>
      <c r="T9" s="33">
        <f t="shared" si="4"/>
        <v>51970160</v>
      </c>
      <c r="U9" s="33">
        <v>80300</v>
      </c>
      <c r="V9" s="64">
        <f>J24</f>
        <v>122.73333333333329</v>
      </c>
      <c r="W9" s="33">
        <f t="shared" si="5"/>
        <v>9855486.6666666642</v>
      </c>
    </row>
    <row r="10" spans="2:23" hidden="1">
      <c r="B10" s="32" t="s">
        <v>237</v>
      </c>
      <c r="C10" s="33">
        <v>1000000</v>
      </c>
      <c r="D10" s="32">
        <v>4</v>
      </c>
      <c r="E10" s="33">
        <f t="shared" si="0"/>
        <v>4000000</v>
      </c>
      <c r="F10" s="33">
        <v>1000000</v>
      </c>
      <c r="G10" s="32">
        <v>6</v>
      </c>
      <c r="H10" s="33">
        <f t="shared" si="1"/>
        <v>6000000</v>
      </c>
      <c r="I10" s="33">
        <v>1000000</v>
      </c>
      <c r="J10" s="32">
        <v>2</v>
      </c>
      <c r="K10" s="33">
        <f t="shared" si="2"/>
        <v>2000000</v>
      </c>
      <c r="N10" s="32" t="s">
        <v>237</v>
      </c>
      <c r="O10" s="33">
        <v>1000000</v>
      </c>
      <c r="P10" s="32">
        <v>4</v>
      </c>
      <c r="Q10" s="33">
        <f t="shared" si="3"/>
        <v>4000000</v>
      </c>
      <c r="R10" s="33">
        <v>1000000</v>
      </c>
      <c r="S10" s="32">
        <v>6</v>
      </c>
      <c r="T10" s="33">
        <f t="shared" si="4"/>
        <v>6000000</v>
      </c>
      <c r="U10" s="33">
        <v>1000000</v>
      </c>
      <c r="V10" s="32">
        <v>2</v>
      </c>
      <c r="W10" s="33">
        <f t="shared" si="5"/>
        <v>2000000</v>
      </c>
    </row>
    <row r="11" spans="2:23" hidden="1">
      <c r="B11" s="32" t="s">
        <v>238</v>
      </c>
      <c r="C11" s="33">
        <v>500000</v>
      </c>
      <c r="D11" s="32">
        <v>0</v>
      </c>
      <c r="E11" s="33">
        <f t="shared" si="0"/>
        <v>0</v>
      </c>
      <c r="F11" s="33">
        <v>500000</v>
      </c>
      <c r="G11" s="32">
        <v>0</v>
      </c>
      <c r="H11" s="33">
        <f t="shared" si="1"/>
        <v>0</v>
      </c>
      <c r="I11" s="33">
        <v>500000</v>
      </c>
      <c r="J11" s="32">
        <v>0</v>
      </c>
      <c r="K11" s="33">
        <f t="shared" si="2"/>
        <v>0</v>
      </c>
      <c r="N11" s="32" t="s">
        <v>238</v>
      </c>
      <c r="O11" s="33">
        <v>500000</v>
      </c>
      <c r="P11" s="32">
        <v>0</v>
      </c>
      <c r="Q11" s="33">
        <f t="shared" si="3"/>
        <v>0</v>
      </c>
      <c r="R11" s="33">
        <v>500000</v>
      </c>
      <c r="S11" s="32">
        <v>0</v>
      </c>
      <c r="T11" s="33">
        <f t="shared" si="4"/>
        <v>0</v>
      </c>
      <c r="U11" s="33">
        <v>500000</v>
      </c>
      <c r="V11" s="32">
        <v>0</v>
      </c>
      <c r="W11" s="33">
        <f t="shared" si="5"/>
        <v>0</v>
      </c>
    </row>
    <row r="12" spans="2:23" hidden="1">
      <c r="B12" s="32" t="s">
        <v>239</v>
      </c>
      <c r="C12" s="33">
        <v>420000</v>
      </c>
      <c r="D12" s="32">
        <v>0</v>
      </c>
      <c r="E12" s="33">
        <f t="shared" si="0"/>
        <v>0</v>
      </c>
      <c r="F12" s="33">
        <v>420000</v>
      </c>
      <c r="G12" s="32">
        <v>0</v>
      </c>
      <c r="H12" s="33">
        <f t="shared" si="1"/>
        <v>0</v>
      </c>
      <c r="I12" s="33">
        <v>420000</v>
      </c>
      <c r="J12" s="32">
        <v>0</v>
      </c>
      <c r="K12" s="33">
        <f t="shared" si="2"/>
        <v>0</v>
      </c>
      <c r="N12" s="32" t="s">
        <v>239</v>
      </c>
      <c r="O12" s="33">
        <v>420000</v>
      </c>
      <c r="P12" s="32">
        <v>0</v>
      </c>
      <c r="Q12" s="33">
        <f t="shared" si="3"/>
        <v>0</v>
      </c>
      <c r="R12" s="33">
        <v>420000</v>
      </c>
      <c r="S12" s="32">
        <v>0</v>
      </c>
      <c r="T12" s="33">
        <f t="shared" si="4"/>
        <v>0</v>
      </c>
      <c r="U12" s="33">
        <v>420000</v>
      </c>
      <c r="V12" s="32">
        <v>0</v>
      </c>
      <c r="W12" s="33">
        <f t="shared" si="5"/>
        <v>0</v>
      </c>
    </row>
    <row r="13" spans="2:23" hidden="1">
      <c r="B13" s="32" t="s">
        <v>240</v>
      </c>
      <c r="C13" s="33">
        <v>450000</v>
      </c>
      <c r="D13" s="32">
        <v>0</v>
      </c>
      <c r="E13" s="33">
        <f t="shared" si="0"/>
        <v>0</v>
      </c>
      <c r="F13" s="33">
        <v>450000</v>
      </c>
      <c r="G13" s="32">
        <v>0</v>
      </c>
      <c r="H13" s="33">
        <f t="shared" si="1"/>
        <v>0</v>
      </c>
      <c r="I13" s="33">
        <v>450000</v>
      </c>
      <c r="J13" s="32">
        <v>0</v>
      </c>
      <c r="K13" s="33">
        <f t="shared" si="2"/>
        <v>0</v>
      </c>
      <c r="N13" s="32" t="s">
        <v>240</v>
      </c>
      <c r="O13" s="33">
        <v>450000</v>
      </c>
      <c r="P13" s="32">
        <v>0</v>
      </c>
      <c r="Q13" s="33">
        <f t="shared" si="3"/>
        <v>0</v>
      </c>
      <c r="R13" s="33">
        <v>450000</v>
      </c>
      <c r="S13" s="32">
        <v>0</v>
      </c>
      <c r="T13" s="33">
        <f t="shared" si="4"/>
        <v>0</v>
      </c>
      <c r="U13" s="33">
        <v>450000</v>
      </c>
      <c r="V13" s="32">
        <v>0</v>
      </c>
      <c r="W13" s="33">
        <f t="shared" si="5"/>
        <v>0</v>
      </c>
    </row>
    <row r="14" spans="2:23" hidden="1">
      <c r="B14" s="32" t="s">
        <v>183</v>
      </c>
      <c r="C14" s="33">
        <v>5700</v>
      </c>
      <c r="D14" s="32">
        <v>42</v>
      </c>
      <c r="E14" s="33">
        <f t="shared" si="0"/>
        <v>239400</v>
      </c>
      <c r="F14" s="33">
        <v>5700</v>
      </c>
      <c r="G14" s="32">
        <v>1172</v>
      </c>
      <c r="H14" s="33">
        <f t="shared" si="1"/>
        <v>6680400</v>
      </c>
      <c r="I14" s="33">
        <v>5700</v>
      </c>
      <c r="J14" s="32">
        <v>177</v>
      </c>
      <c r="K14" s="33">
        <f t="shared" si="2"/>
        <v>1008900</v>
      </c>
      <c r="N14" s="32" t="s">
        <v>241</v>
      </c>
      <c r="O14" s="33">
        <v>5700</v>
      </c>
      <c r="P14" s="32">
        <v>42</v>
      </c>
      <c r="Q14" s="33">
        <f t="shared" si="3"/>
        <v>239400</v>
      </c>
      <c r="R14" s="33">
        <v>5700</v>
      </c>
      <c r="S14" s="32">
        <v>1172</v>
      </c>
      <c r="T14" s="33">
        <f t="shared" si="4"/>
        <v>6680400</v>
      </c>
      <c r="U14" s="33">
        <v>5700</v>
      </c>
      <c r="V14" s="32">
        <v>177</v>
      </c>
      <c r="W14" s="33">
        <f t="shared" si="5"/>
        <v>1008900</v>
      </c>
    </row>
    <row r="15" spans="2:23" s="2" customFormat="1" hidden="1">
      <c r="B15" s="35"/>
      <c r="C15" s="35"/>
      <c r="D15" s="31" t="s">
        <v>48</v>
      </c>
      <c r="E15" s="36">
        <f>SUM(E6:E14)</f>
        <v>791846497.46428573</v>
      </c>
      <c r="F15" s="35"/>
      <c r="G15" s="31" t="s">
        <v>48</v>
      </c>
      <c r="H15" s="36">
        <f>SUM(H6:H14)</f>
        <v>956018852</v>
      </c>
      <c r="I15" s="35"/>
      <c r="J15" s="31" t="s">
        <v>48</v>
      </c>
      <c r="K15" s="36">
        <f>SUM(K6:K14)</f>
        <v>276761668</v>
      </c>
      <c r="N15" s="35"/>
      <c r="O15" s="35"/>
      <c r="P15" s="31" t="s">
        <v>48</v>
      </c>
      <c r="Q15" s="36">
        <f>SUM(Q6:Q14)</f>
        <v>478745953.46428573</v>
      </c>
      <c r="R15" s="35"/>
      <c r="S15" s="31" t="s">
        <v>48</v>
      </c>
      <c r="T15" s="51">
        <f>SUM(T6:T14)</f>
        <v>414471096</v>
      </c>
      <c r="U15" s="35"/>
      <c r="V15" s="31" t="s">
        <v>48</v>
      </c>
      <c r="W15" s="36">
        <f>SUM(W6:W14)</f>
        <v>106972482.66666666</v>
      </c>
    </row>
    <row r="16" spans="2:23" s="2" customFormat="1" hidden="1">
      <c r="B16" s="41"/>
      <c r="C16" s="62">
        <f>C21-C6</f>
        <v>-21268000</v>
      </c>
      <c r="D16" s="42"/>
      <c r="E16" s="43">
        <f>E15/E17</f>
        <v>43991472.081349209</v>
      </c>
      <c r="F16" s="41"/>
      <c r="G16" s="42"/>
      <c r="H16" s="43">
        <f>H15/H17</f>
        <v>50316781.684210524</v>
      </c>
      <c r="I16" s="41"/>
      <c r="J16" s="42"/>
      <c r="K16" s="43">
        <f>K15/K17</f>
        <v>46126944.666666664</v>
      </c>
      <c r="N16" s="41"/>
      <c r="O16" s="41"/>
      <c r="P16" s="42"/>
      <c r="Q16" s="43">
        <f>Q15/P17</f>
        <v>47874595.346428573</v>
      </c>
      <c r="R16" s="41"/>
      <c r="S16" s="42"/>
      <c r="T16" s="43">
        <f>T15/S17</f>
        <v>59210156.571428575</v>
      </c>
      <c r="U16" s="41"/>
      <c r="V16" s="42"/>
      <c r="W16" s="43">
        <f>W15/V17</f>
        <v>53486241.333333328</v>
      </c>
    </row>
    <row r="17" spans="2:23" s="2" customFormat="1" hidden="1">
      <c r="B17" s="41"/>
      <c r="C17" s="62">
        <f>C22-C7</f>
        <v>-25762733</v>
      </c>
      <c r="D17" s="42"/>
      <c r="E17" s="43">
        <v>18</v>
      </c>
      <c r="F17" s="41"/>
      <c r="G17" s="42"/>
      <c r="H17" s="43">
        <v>19</v>
      </c>
      <c r="I17" s="41"/>
      <c r="J17" s="42"/>
      <c r="K17" s="43">
        <v>6</v>
      </c>
      <c r="N17" s="41"/>
      <c r="O17" s="41"/>
      <c r="P17" s="42">
        <v>10</v>
      </c>
      <c r="Q17" s="43"/>
      <c r="R17" s="41"/>
      <c r="S17" s="42">
        <v>7</v>
      </c>
      <c r="T17" s="52"/>
      <c r="U17" s="41"/>
      <c r="V17" s="42">
        <v>2</v>
      </c>
      <c r="W17" s="43"/>
    </row>
    <row r="18" spans="2:23" s="2" customFormat="1" hidden="1">
      <c r="B18" s="41"/>
      <c r="C18" s="29" t="s">
        <v>280</v>
      </c>
      <c r="D18" s="42"/>
      <c r="E18" s="43"/>
      <c r="F18" s="29" t="s">
        <v>281</v>
      </c>
      <c r="G18" s="42"/>
      <c r="H18" s="43"/>
      <c r="I18" s="29" t="s">
        <v>282</v>
      </c>
      <c r="J18" s="42"/>
      <c r="K18" s="43"/>
      <c r="N18" s="41"/>
      <c r="O18" s="41"/>
      <c r="P18" s="42"/>
      <c r="Q18" s="43"/>
      <c r="R18" s="41"/>
      <c r="S18" s="42"/>
      <c r="T18" s="52"/>
      <c r="U18" s="41"/>
      <c r="V18" s="42"/>
      <c r="W18" s="43"/>
    </row>
    <row r="19" spans="2:23" hidden="1">
      <c r="B19" s="379" t="s">
        <v>327</v>
      </c>
      <c r="C19" s="330" t="s">
        <v>10</v>
      </c>
      <c r="D19" s="331"/>
      <c r="E19" s="332"/>
      <c r="F19" s="330" t="s">
        <v>15</v>
      </c>
      <c r="G19" s="331"/>
      <c r="H19" s="332"/>
      <c r="I19" s="330" t="s">
        <v>17</v>
      </c>
      <c r="J19" s="331"/>
      <c r="K19" s="332"/>
      <c r="N19" s="340" t="s">
        <v>328</v>
      </c>
      <c r="O19" s="330" t="s">
        <v>10</v>
      </c>
      <c r="P19" s="331"/>
      <c r="Q19" s="332"/>
      <c r="R19" s="330" t="s">
        <v>15</v>
      </c>
      <c r="S19" s="331"/>
      <c r="T19" s="332"/>
      <c r="U19" s="330" t="s">
        <v>17</v>
      </c>
      <c r="V19" s="331"/>
      <c r="W19" s="332"/>
    </row>
    <row r="20" spans="2:23" hidden="1">
      <c r="B20" s="380"/>
      <c r="C20" s="30" t="s">
        <v>180</v>
      </c>
      <c r="D20" s="31" t="s">
        <v>41</v>
      </c>
      <c r="E20" s="31" t="s">
        <v>44</v>
      </c>
      <c r="F20" s="30" t="s">
        <v>180</v>
      </c>
      <c r="G20" s="31" t="s">
        <v>41</v>
      </c>
      <c r="H20" s="31" t="s">
        <v>44</v>
      </c>
      <c r="I20" s="30" t="s">
        <v>180</v>
      </c>
      <c r="J20" s="31" t="s">
        <v>41</v>
      </c>
      <c r="K20" s="31" t="s">
        <v>44</v>
      </c>
      <c r="N20" s="341"/>
      <c r="O20" s="30" t="s">
        <v>180</v>
      </c>
      <c r="P20" s="31" t="s">
        <v>41</v>
      </c>
      <c r="Q20" s="31" t="s">
        <v>44</v>
      </c>
      <c r="R20" s="30" t="s">
        <v>180</v>
      </c>
      <c r="S20" s="31" t="s">
        <v>41</v>
      </c>
      <c r="T20" s="31" t="s">
        <v>44</v>
      </c>
      <c r="U20" s="30" t="s">
        <v>180</v>
      </c>
      <c r="V20" s="31" t="s">
        <v>41</v>
      </c>
      <c r="W20" s="31" t="s">
        <v>44</v>
      </c>
    </row>
    <row r="21" spans="2:23" hidden="1">
      <c r="B21" s="32" t="s">
        <v>233</v>
      </c>
      <c r="C21" s="33">
        <v>556852000</v>
      </c>
      <c r="D21" s="32">
        <v>1</v>
      </c>
      <c r="E21" s="33">
        <f t="shared" ref="E21:E29" si="6">+C21*D21</f>
        <v>556852000</v>
      </c>
      <c r="F21" s="33">
        <v>610816000</v>
      </c>
      <c r="G21" s="32">
        <v>1</v>
      </c>
      <c r="H21" s="33">
        <f t="shared" ref="H21:H29" si="7">+F21*G21</f>
        <v>610816000</v>
      </c>
      <c r="I21" s="33">
        <v>193184000</v>
      </c>
      <c r="J21" s="32">
        <v>1</v>
      </c>
      <c r="K21" s="33">
        <f t="shared" ref="K21:K29" si="8">+I21*J21</f>
        <v>193184000</v>
      </c>
      <c r="N21" s="32" t="s">
        <v>233</v>
      </c>
      <c r="O21" s="33"/>
      <c r="P21" s="32"/>
      <c r="Q21" s="33">
        <f t="shared" ref="Q21:Q29" si="9">+O21*P21</f>
        <v>0</v>
      </c>
      <c r="R21" s="33"/>
      <c r="S21" s="32"/>
      <c r="T21" s="33">
        <f t="shared" ref="T21:T29" si="10">+R21*S21</f>
        <v>0</v>
      </c>
      <c r="U21" s="33"/>
      <c r="V21" s="32"/>
      <c r="W21" s="33">
        <f t="shared" ref="W21:W29" si="11">+U21*V21</f>
        <v>0</v>
      </c>
    </row>
    <row r="22" spans="2:23" hidden="1">
      <c r="B22" s="32" t="s">
        <v>234</v>
      </c>
      <c r="C22" s="33">
        <v>153807360</v>
      </c>
      <c r="D22" s="32">
        <v>1</v>
      </c>
      <c r="E22" s="33">
        <f t="shared" si="6"/>
        <v>153807360</v>
      </c>
      <c r="F22" s="33">
        <v>221480100</v>
      </c>
      <c r="G22" s="32">
        <v>1</v>
      </c>
      <c r="H22" s="33">
        <f t="shared" si="7"/>
        <v>221480100</v>
      </c>
      <c r="I22" s="33">
        <v>67028400</v>
      </c>
      <c r="J22" s="32">
        <v>1</v>
      </c>
      <c r="K22" s="33">
        <f t="shared" si="8"/>
        <v>67028400</v>
      </c>
      <c r="N22" s="32" t="s">
        <v>234</v>
      </c>
      <c r="O22" s="33"/>
      <c r="P22" s="32"/>
      <c r="Q22" s="33">
        <f t="shared" si="9"/>
        <v>0</v>
      </c>
      <c r="R22" s="33"/>
      <c r="S22" s="32"/>
      <c r="T22" s="33">
        <f t="shared" si="10"/>
        <v>0</v>
      </c>
      <c r="U22" s="33"/>
      <c r="V22" s="32"/>
      <c r="W22" s="33">
        <f t="shared" si="11"/>
        <v>0</v>
      </c>
    </row>
    <row r="23" spans="2:23" hidden="1">
      <c r="B23" s="32" t="s">
        <v>235</v>
      </c>
      <c r="C23" s="33">
        <v>6600</v>
      </c>
      <c r="D23" s="32">
        <v>0</v>
      </c>
      <c r="E23" s="33">
        <f t="shared" si="6"/>
        <v>0</v>
      </c>
      <c r="F23" s="33">
        <v>6600</v>
      </c>
      <c r="G23" s="32">
        <v>0</v>
      </c>
      <c r="H23" s="33">
        <f t="shared" si="7"/>
        <v>0</v>
      </c>
      <c r="I23" s="33">
        <v>6600</v>
      </c>
      <c r="J23" s="32">
        <v>0</v>
      </c>
      <c r="K23" s="33">
        <f t="shared" si="8"/>
        <v>0</v>
      </c>
      <c r="N23" s="32" t="s">
        <v>235</v>
      </c>
      <c r="O23" s="33">
        <v>6600</v>
      </c>
      <c r="P23" s="32"/>
      <c r="Q23" s="33">
        <f t="shared" si="9"/>
        <v>0</v>
      </c>
      <c r="R23" s="33">
        <v>6600</v>
      </c>
      <c r="S23" s="32"/>
      <c r="T23" s="33">
        <f t="shared" si="10"/>
        <v>0</v>
      </c>
      <c r="U23" s="33">
        <v>6600</v>
      </c>
      <c r="V23" s="32"/>
      <c r="W23" s="33">
        <f t="shared" si="11"/>
        <v>0</v>
      </c>
    </row>
    <row r="24" spans="2:23" hidden="1">
      <c r="B24" s="32" t="s">
        <v>236</v>
      </c>
      <c r="C24" s="33">
        <v>80300</v>
      </c>
      <c r="D24" s="61">
        <f>D9</f>
        <v>372.56543542074348</v>
      </c>
      <c r="E24" s="33">
        <f t="shared" si="6"/>
        <v>29917004.464285702</v>
      </c>
      <c r="F24" s="33">
        <v>80300</v>
      </c>
      <c r="G24" s="63">
        <f>G9-N32</f>
        <v>647.20000000000005</v>
      </c>
      <c r="H24" s="33">
        <f t="shared" si="7"/>
        <v>51970160</v>
      </c>
      <c r="I24" s="33">
        <v>80300</v>
      </c>
      <c r="J24" s="63">
        <f>J9-O32</f>
        <v>122.73333333333329</v>
      </c>
      <c r="K24" s="33">
        <f t="shared" si="8"/>
        <v>9855486.6666666642</v>
      </c>
      <c r="N24" s="32" t="s">
        <v>236</v>
      </c>
      <c r="O24" s="33">
        <v>80300</v>
      </c>
      <c r="P24" s="61"/>
      <c r="Q24" s="33">
        <f t="shared" si="9"/>
        <v>0</v>
      </c>
      <c r="R24" s="33">
        <v>80300</v>
      </c>
      <c r="S24" s="64"/>
      <c r="T24" s="33">
        <f t="shared" si="10"/>
        <v>0</v>
      </c>
      <c r="U24" s="33">
        <v>80300</v>
      </c>
      <c r="V24" s="32"/>
      <c r="W24" s="33">
        <f t="shared" si="11"/>
        <v>0</v>
      </c>
    </row>
    <row r="25" spans="2:23" hidden="1">
      <c r="B25" s="32" t="s">
        <v>237</v>
      </c>
      <c r="C25" s="33">
        <v>1100000</v>
      </c>
      <c r="D25" s="32">
        <v>4</v>
      </c>
      <c r="E25" s="33">
        <f t="shared" si="6"/>
        <v>4400000</v>
      </c>
      <c r="F25" s="33">
        <v>1100000</v>
      </c>
      <c r="G25" s="32">
        <v>6</v>
      </c>
      <c r="H25" s="33">
        <f t="shared" si="7"/>
        <v>6600000</v>
      </c>
      <c r="I25" s="33">
        <v>1100000</v>
      </c>
      <c r="J25" s="32">
        <v>2</v>
      </c>
      <c r="K25" s="33">
        <f t="shared" si="8"/>
        <v>2200000</v>
      </c>
      <c r="N25" s="32" t="s">
        <v>237</v>
      </c>
      <c r="O25" s="33">
        <v>1100000</v>
      </c>
      <c r="P25" s="32"/>
      <c r="Q25" s="33">
        <f t="shared" si="9"/>
        <v>0</v>
      </c>
      <c r="R25" s="33">
        <v>1100000</v>
      </c>
      <c r="S25" s="32"/>
      <c r="T25" s="33">
        <f t="shared" si="10"/>
        <v>0</v>
      </c>
      <c r="U25" s="33">
        <v>1100000</v>
      </c>
      <c r="V25" s="32"/>
      <c r="W25" s="33">
        <f t="shared" si="11"/>
        <v>0</v>
      </c>
    </row>
    <row r="26" spans="2:23" hidden="1">
      <c r="B26" s="32" t="s">
        <v>238</v>
      </c>
      <c r="C26" s="33">
        <v>550000</v>
      </c>
      <c r="D26" s="32">
        <v>0</v>
      </c>
      <c r="E26" s="33">
        <f t="shared" si="6"/>
        <v>0</v>
      </c>
      <c r="F26" s="33">
        <v>550000</v>
      </c>
      <c r="G26" s="32">
        <v>0</v>
      </c>
      <c r="H26" s="33">
        <f t="shared" si="7"/>
        <v>0</v>
      </c>
      <c r="I26" s="33">
        <v>550000</v>
      </c>
      <c r="J26" s="32">
        <v>0</v>
      </c>
      <c r="K26" s="33">
        <f t="shared" si="8"/>
        <v>0</v>
      </c>
      <c r="N26" s="32" t="s">
        <v>238</v>
      </c>
      <c r="O26" s="33">
        <v>550000</v>
      </c>
      <c r="P26" s="32"/>
      <c r="Q26" s="33">
        <f t="shared" si="9"/>
        <v>0</v>
      </c>
      <c r="R26" s="33">
        <v>550000</v>
      </c>
      <c r="S26" s="32"/>
      <c r="T26" s="33">
        <f t="shared" si="10"/>
        <v>0</v>
      </c>
      <c r="U26" s="33">
        <v>550000</v>
      </c>
      <c r="V26" s="32"/>
      <c r="W26" s="33">
        <f t="shared" si="11"/>
        <v>0</v>
      </c>
    </row>
    <row r="27" spans="2:23" hidden="1">
      <c r="B27" s="32" t="s">
        <v>239</v>
      </c>
      <c r="C27" s="33">
        <v>420000</v>
      </c>
      <c r="D27" s="32">
        <v>0</v>
      </c>
      <c r="E27" s="33">
        <f t="shared" si="6"/>
        <v>0</v>
      </c>
      <c r="F27" s="33">
        <v>420000</v>
      </c>
      <c r="G27" s="32">
        <v>0</v>
      </c>
      <c r="H27" s="33">
        <f t="shared" si="7"/>
        <v>0</v>
      </c>
      <c r="I27" s="33">
        <v>420000</v>
      </c>
      <c r="J27" s="32">
        <v>0</v>
      </c>
      <c r="K27" s="33">
        <f t="shared" si="8"/>
        <v>0</v>
      </c>
      <c r="N27" s="32" t="s">
        <v>239</v>
      </c>
      <c r="O27" s="33">
        <v>420000</v>
      </c>
      <c r="P27" s="32"/>
      <c r="Q27" s="33">
        <f t="shared" si="9"/>
        <v>0</v>
      </c>
      <c r="R27" s="33">
        <v>420000</v>
      </c>
      <c r="S27" s="32"/>
      <c r="T27" s="33">
        <f t="shared" si="10"/>
        <v>0</v>
      </c>
      <c r="U27" s="33">
        <v>420000</v>
      </c>
      <c r="V27" s="32"/>
      <c r="W27" s="33">
        <f t="shared" si="11"/>
        <v>0</v>
      </c>
    </row>
    <row r="28" spans="2:23" hidden="1">
      <c r="B28" s="32" t="s">
        <v>240</v>
      </c>
      <c r="C28" s="33">
        <v>450000</v>
      </c>
      <c r="D28" s="32">
        <v>0</v>
      </c>
      <c r="E28" s="33">
        <f t="shared" si="6"/>
        <v>0</v>
      </c>
      <c r="F28" s="33">
        <v>450000</v>
      </c>
      <c r="G28" s="32">
        <v>0</v>
      </c>
      <c r="H28" s="33">
        <f t="shared" si="7"/>
        <v>0</v>
      </c>
      <c r="I28" s="33">
        <v>450000</v>
      </c>
      <c r="J28" s="32">
        <v>0</v>
      </c>
      <c r="K28" s="33">
        <f t="shared" si="8"/>
        <v>0</v>
      </c>
      <c r="N28" s="32" t="s">
        <v>240</v>
      </c>
      <c r="O28" s="33">
        <v>450000</v>
      </c>
      <c r="P28" s="32"/>
      <c r="Q28" s="33">
        <f t="shared" si="9"/>
        <v>0</v>
      </c>
      <c r="R28" s="33">
        <v>450000</v>
      </c>
      <c r="S28" s="32"/>
      <c r="T28" s="33">
        <f t="shared" si="10"/>
        <v>0</v>
      </c>
      <c r="U28" s="33">
        <v>450000</v>
      </c>
      <c r="V28" s="32"/>
      <c r="W28" s="33">
        <f t="shared" si="11"/>
        <v>0</v>
      </c>
    </row>
    <row r="29" spans="2:23" hidden="1">
      <c r="B29" s="32" t="s">
        <v>183</v>
      </c>
      <c r="C29" s="33">
        <v>5700</v>
      </c>
      <c r="D29" s="32">
        <v>0</v>
      </c>
      <c r="E29" s="33">
        <f t="shared" si="6"/>
        <v>0</v>
      </c>
      <c r="F29" s="33">
        <v>5700</v>
      </c>
      <c r="G29" s="32">
        <v>0</v>
      </c>
      <c r="H29" s="33">
        <f t="shared" si="7"/>
        <v>0</v>
      </c>
      <c r="I29" s="33">
        <v>5700</v>
      </c>
      <c r="J29" s="32">
        <v>0</v>
      </c>
      <c r="K29" s="33">
        <f t="shared" si="8"/>
        <v>0</v>
      </c>
      <c r="N29" s="32" t="s">
        <v>241</v>
      </c>
      <c r="O29" s="33">
        <v>5700</v>
      </c>
      <c r="P29" s="32"/>
      <c r="Q29" s="33">
        <f t="shared" si="9"/>
        <v>0</v>
      </c>
      <c r="R29" s="33">
        <v>5700</v>
      </c>
      <c r="S29" s="32"/>
      <c r="T29" s="33">
        <f t="shared" si="10"/>
        <v>0</v>
      </c>
      <c r="U29" s="33">
        <v>5700</v>
      </c>
      <c r="V29" s="32"/>
      <c r="W29" s="33">
        <f t="shared" si="11"/>
        <v>0</v>
      </c>
    </row>
    <row r="30" spans="2:23" s="2" customFormat="1" hidden="1">
      <c r="B30" s="35"/>
      <c r="C30" s="35"/>
      <c r="D30" s="31" t="s">
        <v>48</v>
      </c>
      <c r="E30" s="36">
        <f>SUM(E21:E29)</f>
        <v>744976364.46428573</v>
      </c>
      <c r="F30" s="35"/>
      <c r="G30" s="31" t="s">
        <v>48</v>
      </c>
      <c r="H30" s="36">
        <f>SUM(H21:H29)</f>
        <v>890866260</v>
      </c>
      <c r="I30" s="35"/>
      <c r="J30" s="31" t="s">
        <v>48</v>
      </c>
      <c r="K30" s="36">
        <f>SUM(K21:K29)</f>
        <v>272267886.66666669</v>
      </c>
      <c r="N30" s="35"/>
      <c r="O30" s="35"/>
      <c r="P30" s="31" t="s">
        <v>48</v>
      </c>
      <c r="Q30" s="36">
        <f>SUM(Q21:Q29)</f>
        <v>0</v>
      </c>
      <c r="R30" s="35"/>
      <c r="S30" s="31" t="s">
        <v>48</v>
      </c>
      <c r="T30" s="51">
        <f>SUM(T21:T29)</f>
        <v>0</v>
      </c>
      <c r="U30" s="35"/>
      <c r="V30" s="31" t="s">
        <v>48</v>
      </c>
      <c r="W30" s="36">
        <f>SUM(W21:W29)</f>
        <v>0</v>
      </c>
    </row>
    <row r="31" spans="2:23" s="2" customFormat="1" hidden="1">
      <c r="B31" s="41"/>
      <c r="C31" s="41"/>
      <c r="D31" s="42"/>
      <c r="E31" s="43">
        <f>E30/E32</f>
        <v>41387575.803571433</v>
      </c>
      <c r="F31" s="62">
        <f>E30-E15</f>
        <v>-46870133</v>
      </c>
      <c r="G31" s="42"/>
      <c r="H31" s="43">
        <f>H30/H32</f>
        <v>46887697.894736841</v>
      </c>
      <c r="I31" s="62">
        <f>H30-H15</f>
        <v>-65152592</v>
      </c>
      <c r="J31" s="42"/>
      <c r="K31" s="43">
        <f>K30/K32</f>
        <v>45377981.111111112</v>
      </c>
      <c r="L31" s="65">
        <f>K30-K15</f>
        <v>-4493781.3333333135</v>
      </c>
      <c r="N31" s="41"/>
      <c r="O31" s="41"/>
      <c r="P31" s="42"/>
      <c r="Q31" s="43"/>
      <c r="R31" s="41"/>
      <c r="S31" s="42"/>
      <c r="T31" s="52"/>
      <c r="U31" s="41"/>
      <c r="V31" s="42"/>
      <c r="W31" s="43"/>
    </row>
    <row r="32" spans="2:23" s="2" customFormat="1" hidden="1">
      <c r="B32" s="41"/>
      <c r="C32" s="41"/>
      <c r="D32" s="42"/>
      <c r="E32" s="43">
        <v>18</v>
      </c>
      <c r="F32" s="62">
        <f>F31/23000</f>
        <v>-2037.8318695652174</v>
      </c>
      <c r="G32" s="42"/>
      <c r="H32" s="43">
        <v>19</v>
      </c>
      <c r="I32" s="62">
        <f>I31/23000</f>
        <v>-2832.7213913043479</v>
      </c>
      <c r="J32" s="42"/>
      <c r="K32" s="43">
        <v>6</v>
      </c>
      <c r="L32" s="65">
        <f>L31/23000</f>
        <v>-195.3817971014484</v>
      </c>
      <c r="N32" s="41">
        <v>85.8</v>
      </c>
      <c r="O32" s="41">
        <v>21.266666666666701</v>
      </c>
      <c r="P32" s="42"/>
      <c r="Q32" s="43"/>
      <c r="R32" s="41"/>
      <c r="S32" s="42"/>
      <c r="T32" s="52"/>
      <c r="U32" s="41"/>
      <c r="V32" s="42"/>
      <c r="W32" s="43"/>
    </row>
    <row r="33" spans="2:23" s="2" customFormat="1" hidden="1">
      <c r="B33" s="41"/>
      <c r="C33" s="29" t="s">
        <v>277</v>
      </c>
      <c r="D33" s="29"/>
      <c r="E33" s="29"/>
      <c r="F33" s="29" t="s">
        <v>278</v>
      </c>
      <c r="G33" s="29"/>
      <c r="H33" s="29"/>
      <c r="I33" s="29" t="s">
        <v>279</v>
      </c>
      <c r="J33" s="29"/>
      <c r="K33" s="29"/>
      <c r="N33" s="41"/>
      <c r="O33" s="41"/>
      <c r="P33" s="42"/>
      <c r="Q33" s="43"/>
      <c r="R33" s="41"/>
      <c r="S33" s="42"/>
      <c r="T33" s="52"/>
      <c r="U33" s="41"/>
      <c r="V33" s="42"/>
      <c r="W33" s="43"/>
    </row>
    <row r="34" spans="2:23" hidden="1">
      <c r="B34" s="379" t="s">
        <v>329</v>
      </c>
      <c r="C34" s="330" t="s">
        <v>10</v>
      </c>
      <c r="D34" s="331"/>
      <c r="E34" s="332"/>
      <c r="F34" s="330" t="s">
        <v>15</v>
      </c>
      <c r="G34" s="331"/>
      <c r="H34" s="332"/>
      <c r="I34" s="330" t="s">
        <v>17</v>
      </c>
      <c r="J34" s="331"/>
      <c r="K34" s="332"/>
      <c r="N34" s="375" t="s">
        <v>305</v>
      </c>
      <c r="O34" s="330" t="s">
        <v>10</v>
      </c>
      <c r="P34" s="331"/>
      <c r="Q34" s="332"/>
      <c r="R34" s="330" t="s">
        <v>15</v>
      </c>
      <c r="S34" s="331"/>
      <c r="T34" s="332"/>
      <c r="U34" s="330" t="s">
        <v>17</v>
      </c>
      <c r="V34" s="331"/>
      <c r="W34" s="332"/>
    </row>
    <row r="35" spans="2:23" hidden="1">
      <c r="B35" s="380"/>
      <c r="C35" s="30" t="s">
        <v>180</v>
      </c>
      <c r="D35" s="31" t="s">
        <v>41</v>
      </c>
      <c r="E35" s="31" t="s">
        <v>44</v>
      </c>
      <c r="F35" s="30" t="s">
        <v>180</v>
      </c>
      <c r="G35" s="31" t="s">
        <v>41</v>
      </c>
      <c r="H35" s="31" t="s">
        <v>44</v>
      </c>
      <c r="I35" s="30" t="s">
        <v>180</v>
      </c>
      <c r="J35" s="31" t="s">
        <v>41</v>
      </c>
      <c r="K35" s="31" t="s">
        <v>44</v>
      </c>
      <c r="N35" s="376"/>
      <c r="O35" s="30" t="s">
        <v>180</v>
      </c>
      <c r="P35" s="31" t="s">
        <v>41</v>
      </c>
      <c r="Q35" s="31" t="s">
        <v>44</v>
      </c>
      <c r="R35" s="30" t="s">
        <v>180</v>
      </c>
      <c r="S35" s="31" t="s">
        <v>41</v>
      </c>
      <c r="T35" s="31" t="s">
        <v>44</v>
      </c>
      <c r="U35" s="30" t="s">
        <v>180</v>
      </c>
      <c r="V35" s="31" t="s">
        <v>41</v>
      </c>
      <c r="W35" s="31" t="s">
        <v>44</v>
      </c>
    </row>
    <row r="36" spans="2:23" hidden="1">
      <c r="B36" s="32" t="s">
        <v>233</v>
      </c>
      <c r="C36" s="33">
        <v>331840000</v>
      </c>
      <c r="D36" s="32">
        <v>1</v>
      </c>
      <c r="E36" s="33">
        <f>+C36*D36</f>
        <v>331840000</v>
      </c>
      <c r="F36" s="33">
        <v>251148000</v>
      </c>
      <c r="G36" s="32">
        <v>1</v>
      </c>
      <c r="H36" s="33">
        <f>+F36*G36</f>
        <v>251148000</v>
      </c>
      <c r="I36" s="33">
        <v>73128000</v>
      </c>
      <c r="J36" s="32">
        <v>1</v>
      </c>
      <c r="K36" s="33">
        <f>+I36*J36</f>
        <v>73128000</v>
      </c>
      <c r="N36" s="32" t="s">
        <v>233</v>
      </c>
      <c r="O36" s="33"/>
      <c r="P36" s="32"/>
      <c r="Q36" s="33">
        <f>+O36*P36</f>
        <v>0</v>
      </c>
      <c r="R36" s="33">
        <v>432232000</v>
      </c>
      <c r="S36" s="32">
        <v>1</v>
      </c>
      <c r="T36" s="33">
        <f>+R36*S36</f>
        <v>432232000</v>
      </c>
      <c r="U36" s="33">
        <v>103392000</v>
      </c>
      <c r="V36" s="32">
        <v>1</v>
      </c>
      <c r="W36" s="33">
        <f>+U36*V36</f>
        <v>103392000</v>
      </c>
    </row>
    <row r="37" spans="2:23" hidden="1">
      <c r="B37" s="32" t="s">
        <v>234</v>
      </c>
      <c r="C37" s="33">
        <v>83074560</v>
      </c>
      <c r="D37" s="32">
        <v>1</v>
      </c>
      <c r="E37" s="33">
        <f>+C37*D37</f>
        <v>83074560</v>
      </c>
      <c r="F37" s="33">
        <v>78909300</v>
      </c>
      <c r="G37" s="32">
        <v>1</v>
      </c>
      <c r="H37" s="33">
        <f>+F37*G37</f>
        <v>78909300</v>
      </c>
      <c r="I37" s="33">
        <v>19504800</v>
      </c>
      <c r="J37" s="32">
        <v>1</v>
      </c>
      <c r="K37" s="33">
        <f>+I37*J37</f>
        <v>19504800</v>
      </c>
      <c r="N37" s="32" t="s">
        <v>234</v>
      </c>
      <c r="O37" s="33"/>
      <c r="P37" s="32"/>
      <c r="Q37" s="33">
        <f>+O37*P37</f>
        <v>0</v>
      </c>
      <c r="R37" s="33">
        <v>150194700</v>
      </c>
      <c r="S37" s="32">
        <v>1</v>
      </c>
      <c r="T37" s="33">
        <f>+R37*S37</f>
        <v>150194700</v>
      </c>
      <c r="U37" s="33">
        <v>31385700</v>
      </c>
      <c r="V37" s="32">
        <v>1</v>
      </c>
      <c r="W37" s="33">
        <f>+U37*V37</f>
        <v>31385700</v>
      </c>
    </row>
    <row r="38" spans="2:23" hidden="1">
      <c r="B38" s="32" t="s">
        <v>235</v>
      </c>
      <c r="C38" s="33">
        <v>6600</v>
      </c>
      <c r="D38" s="32">
        <v>0</v>
      </c>
      <c r="E38" s="33">
        <f t="shared" ref="E38:E44" si="12">+C38*D38</f>
        <v>0</v>
      </c>
      <c r="F38" s="33">
        <v>6600</v>
      </c>
      <c r="G38" s="32">
        <v>0</v>
      </c>
      <c r="H38" s="33">
        <f t="shared" ref="H38:H44" si="13">+F38*G38</f>
        <v>0</v>
      </c>
      <c r="I38" s="33">
        <v>6600</v>
      </c>
      <c r="J38" s="32">
        <v>0</v>
      </c>
      <c r="K38" s="33">
        <f t="shared" ref="K38:K44" si="14">+I38*J38</f>
        <v>0</v>
      </c>
      <c r="N38" s="32" t="s">
        <v>235</v>
      </c>
      <c r="O38" s="33"/>
      <c r="P38" s="32"/>
      <c r="Q38" s="33">
        <f t="shared" ref="Q38:Q44" si="15">+O38*P38</f>
        <v>0</v>
      </c>
      <c r="R38" s="33">
        <v>6600</v>
      </c>
      <c r="S38" s="32">
        <v>0</v>
      </c>
      <c r="T38" s="33">
        <f t="shared" ref="T38:T44" si="16">+R38*S38</f>
        <v>0</v>
      </c>
      <c r="U38" s="33">
        <v>6600</v>
      </c>
      <c r="V38" s="32">
        <v>0</v>
      </c>
      <c r="W38" s="33">
        <f t="shared" ref="W38:W44" si="17">+U38*V38</f>
        <v>0</v>
      </c>
    </row>
    <row r="39" spans="2:23" hidden="1">
      <c r="B39" s="32" t="s">
        <v>236</v>
      </c>
      <c r="C39" s="33">
        <v>80300</v>
      </c>
      <c r="D39" s="61">
        <f>D24</f>
        <v>372.56543542074348</v>
      </c>
      <c r="E39" s="33">
        <f t="shared" si="12"/>
        <v>29917004.464285702</v>
      </c>
      <c r="F39" s="33">
        <v>80300</v>
      </c>
      <c r="G39" s="64">
        <f>G24</f>
        <v>647.20000000000005</v>
      </c>
      <c r="H39" s="33">
        <f t="shared" si="13"/>
        <v>51970160</v>
      </c>
      <c r="I39" s="33">
        <v>80300</v>
      </c>
      <c r="J39" s="64">
        <f>J24</f>
        <v>122.73333333333329</v>
      </c>
      <c r="K39" s="33">
        <f t="shared" si="14"/>
        <v>9855486.6666666642</v>
      </c>
      <c r="N39" s="32" t="s">
        <v>236</v>
      </c>
      <c r="O39" s="33"/>
      <c r="P39" s="32"/>
      <c r="Q39" s="33">
        <f t="shared" si="15"/>
        <v>0</v>
      </c>
      <c r="R39" s="33">
        <v>80300</v>
      </c>
      <c r="S39" s="32">
        <v>645.20000000000005</v>
      </c>
      <c r="T39" s="33">
        <f t="shared" si="16"/>
        <v>51809560</v>
      </c>
      <c r="U39" s="33">
        <v>80300</v>
      </c>
      <c r="V39" s="32">
        <v>185.73333333333301</v>
      </c>
      <c r="W39" s="33">
        <f t="shared" si="17"/>
        <v>14914386.66666664</v>
      </c>
    </row>
    <row r="40" spans="2:23" hidden="1">
      <c r="B40" s="32" t="s">
        <v>237</v>
      </c>
      <c r="C40" s="33">
        <v>1100000</v>
      </c>
      <c r="D40" s="32">
        <v>4</v>
      </c>
      <c r="E40" s="33">
        <f t="shared" si="12"/>
        <v>4400000</v>
      </c>
      <c r="F40" s="33">
        <v>1100000</v>
      </c>
      <c r="G40" s="32">
        <v>6</v>
      </c>
      <c r="H40" s="33">
        <f t="shared" si="13"/>
        <v>6600000</v>
      </c>
      <c r="I40" s="33">
        <v>1100000</v>
      </c>
      <c r="J40" s="32">
        <v>2</v>
      </c>
      <c r="K40" s="33">
        <f t="shared" si="14"/>
        <v>2200000</v>
      </c>
      <c r="N40" s="32" t="s">
        <v>237</v>
      </c>
      <c r="O40" s="33"/>
      <c r="P40" s="32"/>
      <c r="Q40" s="33">
        <f t="shared" si="15"/>
        <v>0</v>
      </c>
      <c r="R40" s="33">
        <v>1100000</v>
      </c>
      <c r="S40" s="32">
        <v>6</v>
      </c>
      <c r="T40" s="33">
        <f t="shared" si="16"/>
        <v>6600000</v>
      </c>
      <c r="U40" s="33">
        <v>1100000</v>
      </c>
      <c r="V40" s="32">
        <v>2</v>
      </c>
      <c r="W40" s="33">
        <f t="shared" si="17"/>
        <v>2200000</v>
      </c>
    </row>
    <row r="41" spans="2:23" hidden="1">
      <c r="B41" s="32" t="s">
        <v>238</v>
      </c>
      <c r="C41" s="33">
        <v>550000</v>
      </c>
      <c r="D41" s="32">
        <v>0</v>
      </c>
      <c r="E41" s="33">
        <f t="shared" si="12"/>
        <v>0</v>
      </c>
      <c r="F41" s="33">
        <v>550000</v>
      </c>
      <c r="G41" s="32">
        <v>0</v>
      </c>
      <c r="H41" s="33">
        <f t="shared" si="13"/>
        <v>0</v>
      </c>
      <c r="I41" s="33">
        <v>550000</v>
      </c>
      <c r="J41" s="32">
        <v>0</v>
      </c>
      <c r="K41" s="33">
        <f t="shared" si="14"/>
        <v>0</v>
      </c>
      <c r="N41" s="32" t="s">
        <v>238</v>
      </c>
      <c r="O41" s="33"/>
      <c r="P41" s="32"/>
      <c r="Q41" s="33">
        <f t="shared" si="15"/>
        <v>0</v>
      </c>
      <c r="R41" s="33">
        <v>550000</v>
      </c>
      <c r="S41" s="32">
        <v>0</v>
      </c>
      <c r="T41" s="33">
        <f t="shared" si="16"/>
        <v>0</v>
      </c>
      <c r="U41" s="33">
        <v>550000</v>
      </c>
      <c r="V41" s="32">
        <v>0</v>
      </c>
      <c r="W41" s="33">
        <f t="shared" si="17"/>
        <v>0</v>
      </c>
    </row>
    <row r="42" spans="2:23" hidden="1">
      <c r="B42" s="32" t="s">
        <v>239</v>
      </c>
      <c r="C42" s="33">
        <v>420000</v>
      </c>
      <c r="D42" s="32">
        <v>0</v>
      </c>
      <c r="E42" s="33">
        <f t="shared" si="12"/>
        <v>0</v>
      </c>
      <c r="F42" s="33">
        <v>420000</v>
      </c>
      <c r="G42" s="32">
        <v>0</v>
      </c>
      <c r="H42" s="33">
        <f t="shared" si="13"/>
        <v>0</v>
      </c>
      <c r="I42" s="33">
        <v>420000</v>
      </c>
      <c r="J42" s="32">
        <v>0</v>
      </c>
      <c r="K42" s="33">
        <f t="shared" si="14"/>
        <v>0</v>
      </c>
      <c r="N42" s="32" t="s">
        <v>239</v>
      </c>
      <c r="O42" s="33"/>
      <c r="P42" s="32"/>
      <c r="Q42" s="33">
        <f t="shared" si="15"/>
        <v>0</v>
      </c>
      <c r="R42" s="33">
        <v>420000</v>
      </c>
      <c r="S42" s="32">
        <v>0</v>
      </c>
      <c r="T42" s="33">
        <f t="shared" si="16"/>
        <v>0</v>
      </c>
      <c r="U42" s="33">
        <v>420000</v>
      </c>
      <c r="V42" s="32">
        <v>0</v>
      </c>
      <c r="W42" s="33">
        <f t="shared" si="17"/>
        <v>0</v>
      </c>
    </row>
    <row r="43" spans="2:23" hidden="1">
      <c r="B43" s="32" t="s">
        <v>240</v>
      </c>
      <c r="C43" s="33">
        <v>450000</v>
      </c>
      <c r="D43" s="32">
        <v>0</v>
      </c>
      <c r="E43" s="33">
        <f t="shared" si="12"/>
        <v>0</v>
      </c>
      <c r="F43" s="33">
        <v>450000</v>
      </c>
      <c r="G43" s="32">
        <v>0</v>
      </c>
      <c r="H43" s="33">
        <f t="shared" si="13"/>
        <v>0</v>
      </c>
      <c r="I43" s="33">
        <v>450000</v>
      </c>
      <c r="J43" s="32">
        <v>0</v>
      </c>
      <c r="K43" s="33">
        <f t="shared" si="14"/>
        <v>0</v>
      </c>
      <c r="N43" s="32" t="s">
        <v>240</v>
      </c>
      <c r="O43" s="33"/>
      <c r="P43" s="32"/>
      <c r="Q43" s="33">
        <f t="shared" si="15"/>
        <v>0</v>
      </c>
      <c r="R43" s="33">
        <v>450000</v>
      </c>
      <c r="S43" s="32">
        <v>0</v>
      </c>
      <c r="T43" s="33">
        <f t="shared" si="16"/>
        <v>0</v>
      </c>
      <c r="U43" s="33">
        <v>450000</v>
      </c>
      <c r="V43" s="32">
        <v>0</v>
      </c>
      <c r="W43" s="33">
        <f t="shared" si="17"/>
        <v>0</v>
      </c>
    </row>
    <row r="44" spans="2:23" hidden="1">
      <c r="B44" s="32" t="s">
        <v>183</v>
      </c>
      <c r="C44" s="33">
        <v>5700</v>
      </c>
      <c r="D44" s="32">
        <v>0</v>
      </c>
      <c r="E44" s="33">
        <f t="shared" si="12"/>
        <v>0</v>
      </c>
      <c r="F44" s="33">
        <v>5700</v>
      </c>
      <c r="G44" s="32">
        <v>0</v>
      </c>
      <c r="H44" s="33">
        <f t="shared" si="13"/>
        <v>0</v>
      </c>
      <c r="I44" s="33">
        <v>5700</v>
      </c>
      <c r="J44" s="32">
        <v>0</v>
      </c>
      <c r="K44" s="33">
        <f t="shared" si="14"/>
        <v>0</v>
      </c>
      <c r="N44" s="32" t="s">
        <v>241</v>
      </c>
      <c r="O44" s="33"/>
      <c r="P44" s="32"/>
      <c r="Q44" s="33">
        <f t="shared" si="15"/>
        <v>0</v>
      </c>
      <c r="R44" s="33">
        <v>5700</v>
      </c>
      <c r="S44" s="32">
        <v>0</v>
      </c>
      <c r="T44" s="33">
        <f t="shared" si="16"/>
        <v>0</v>
      </c>
      <c r="U44" s="33">
        <v>5700</v>
      </c>
      <c r="V44" s="32">
        <v>0</v>
      </c>
      <c r="W44" s="33">
        <f t="shared" si="17"/>
        <v>0</v>
      </c>
    </row>
    <row r="45" spans="2:23" s="2" customFormat="1" hidden="1">
      <c r="B45" s="35"/>
      <c r="C45" s="35"/>
      <c r="D45" s="31" t="s">
        <v>48</v>
      </c>
      <c r="E45" s="36">
        <f>SUM(E36:E44)</f>
        <v>449231564.46428573</v>
      </c>
      <c r="F45" s="35"/>
      <c r="G45" s="31" t="s">
        <v>48</v>
      </c>
      <c r="H45" s="36">
        <f>SUM(H36:H44)</f>
        <v>388627460</v>
      </c>
      <c r="I45" s="35"/>
      <c r="J45" s="31" t="s">
        <v>48</v>
      </c>
      <c r="K45" s="36">
        <f>SUM(K36:K44)</f>
        <v>104688286.66666666</v>
      </c>
      <c r="N45" s="35"/>
      <c r="O45" s="35"/>
      <c r="P45" s="31" t="s">
        <v>48</v>
      </c>
      <c r="Q45" s="36">
        <f>SUM(Q36:Q44)</f>
        <v>0</v>
      </c>
      <c r="R45" s="35"/>
      <c r="S45" s="31" t="s">
        <v>48</v>
      </c>
      <c r="T45" s="51">
        <f>SUM(T36:T44)</f>
        <v>640836260</v>
      </c>
      <c r="U45" s="35"/>
      <c r="V45" s="31" t="s">
        <v>48</v>
      </c>
      <c r="W45" s="36">
        <f>SUM(W36:W44)</f>
        <v>151892086.66666663</v>
      </c>
    </row>
    <row r="46" spans="2:23" s="2" customFormat="1" hidden="1">
      <c r="B46" s="41"/>
      <c r="C46" s="41"/>
      <c r="D46" s="42"/>
      <c r="E46" s="43">
        <f>E45/E47</f>
        <v>44923156.446428575</v>
      </c>
      <c r="F46" s="41"/>
      <c r="G46" s="42"/>
      <c r="H46" s="43">
        <f>H45/H47</f>
        <v>55518208.571428575</v>
      </c>
      <c r="I46" s="41"/>
      <c r="J46" s="42"/>
      <c r="K46" s="43">
        <f>K45/K47</f>
        <v>52344143.333333328</v>
      </c>
      <c r="O46" s="41"/>
      <c r="P46" s="42"/>
      <c r="Q46" s="43"/>
      <c r="R46" s="41"/>
      <c r="S46" s="42"/>
      <c r="T46" s="43"/>
      <c r="U46" s="41"/>
      <c r="V46" s="42"/>
      <c r="W46" s="43">
        <f>W45/W47</f>
        <v>50630695.555555545</v>
      </c>
    </row>
    <row r="47" spans="2:23" s="2" customFormat="1" hidden="1">
      <c r="B47" s="41"/>
      <c r="C47" s="41"/>
      <c r="D47" s="42"/>
      <c r="E47" s="43">
        <v>10</v>
      </c>
      <c r="F47" s="41"/>
      <c r="G47" s="42"/>
      <c r="H47" s="43">
        <v>7</v>
      </c>
      <c r="I47" s="41"/>
      <c r="J47" s="42"/>
      <c r="K47" s="43">
        <v>2</v>
      </c>
      <c r="O47" s="41"/>
      <c r="P47" s="42"/>
      <c r="Q47" s="43"/>
      <c r="R47" s="41"/>
      <c r="S47" s="42"/>
      <c r="T47" s="43">
        <v>13</v>
      </c>
      <c r="U47" s="41"/>
      <c r="V47" s="42"/>
      <c r="W47" s="43">
        <v>3</v>
      </c>
    </row>
    <row r="48" spans="2:23" s="2" customFormat="1" hidden="1">
      <c r="B48" s="41"/>
      <c r="C48" s="41"/>
      <c r="D48" s="42"/>
      <c r="E48" s="43"/>
      <c r="F48" s="41"/>
      <c r="G48" s="42"/>
      <c r="H48" s="43"/>
      <c r="I48" s="41"/>
      <c r="J48" s="42"/>
      <c r="K48" s="43"/>
      <c r="N48" s="41"/>
      <c r="O48" s="41"/>
      <c r="P48" s="42"/>
      <c r="Q48" s="43"/>
      <c r="R48" s="41"/>
      <c r="S48" s="42"/>
      <c r="T48" s="52"/>
      <c r="U48" s="41"/>
      <c r="V48" s="42"/>
      <c r="W48" s="43"/>
    </row>
    <row r="49" spans="2:23" s="2" customFormat="1" hidden="1">
      <c r="B49" s="41"/>
      <c r="C49" s="29" t="s">
        <v>308</v>
      </c>
      <c r="D49" s="29"/>
      <c r="E49" s="29"/>
      <c r="F49" s="29" t="s">
        <v>309</v>
      </c>
      <c r="G49" s="29"/>
      <c r="H49" s="29"/>
      <c r="I49" s="29" t="s">
        <v>310</v>
      </c>
      <c r="J49" s="29"/>
      <c r="K49" s="29"/>
      <c r="N49" s="41"/>
      <c r="O49" s="41"/>
      <c r="P49" s="42"/>
      <c r="Q49" s="43"/>
      <c r="R49" s="41"/>
      <c r="S49" s="42"/>
      <c r="T49" s="52"/>
      <c r="U49" s="41"/>
      <c r="V49" s="42"/>
      <c r="W49" s="43"/>
    </row>
    <row r="50" spans="2:23" hidden="1">
      <c r="B50" s="379" t="s">
        <v>311</v>
      </c>
      <c r="C50" s="330" t="s">
        <v>10</v>
      </c>
      <c r="D50" s="331"/>
      <c r="E50" s="332"/>
      <c r="F50" s="330" t="s">
        <v>15</v>
      </c>
      <c r="G50" s="331"/>
      <c r="H50" s="332"/>
      <c r="I50" s="330" t="s">
        <v>17</v>
      </c>
      <c r="J50" s="331"/>
      <c r="K50" s="332"/>
      <c r="N50" s="340" t="s">
        <v>4</v>
      </c>
      <c r="O50" s="330" t="s">
        <v>10</v>
      </c>
      <c r="P50" s="331"/>
      <c r="Q50" s="332"/>
      <c r="R50" s="330" t="s">
        <v>15</v>
      </c>
      <c r="S50" s="331"/>
      <c r="T50" s="332"/>
      <c r="U50" s="330" t="s">
        <v>17</v>
      </c>
      <c r="V50" s="331"/>
      <c r="W50" s="332"/>
    </row>
    <row r="51" spans="2:23" hidden="1">
      <c r="B51" s="380"/>
      <c r="C51" s="30" t="s">
        <v>180</v>
      </c>
      <c r="D51" s="31" t="s">
        <v>41</v>
      </c>
      <c r="E51" s="31" t="s">
        <v>44</v>
      </c>
      <c r="F51" s="30" t="s">
        <v>180</v>
      </c>
      <c r="G51" s="31" t="s">
        <v>41</v>
      </c>
      <c r="H51" s="31" t="s">
        <v>44</v>
      </c>
      <c r="I51" s="30" t="s">
        <v>180</v>
      </c>
      <c r="J51" s="31" t="s">
        <v>41</v>
      </c>
      <c r="K51" s="31" t="s">
        <v>44</v>
      </c>
      <c r="N51" s="341"/>
      <c r="O51" s="30" t="s">
        <v>180</v>
      </c>
      <c r="P51" s="31" t="s">
        <v>41</v>
      </c>
      <c r="Q51" s="31" t="s">
        <v>44</v>
      </c>
      <c r="R51" s="30" t="s">
        <v>180</v>
      </c>
      <c r="S51" s="31" t="s">
        <v>41</v>
      </c>
      <c r="T51" s="31" t="s">
        <v>44</v>
      </c>
      <c r="U51" s="30" t="s">
        <v>180</v>
      </c>
      <c r="V51" s="31" t="s">
        <v>41</v>
      </c>
      <c r="W51" s="31" t="s">
        <v>44</v>
      </c>
    </row>
    <row r="52" spans="2:23" hidden="1">
      <c r="B52" s="32" t="s">
        <v>233</v>
      </c>
      <c r="C52" s="33">
        <v>31190000</v>
      </c>
      <c r="D52" s="32">
        <v>2</v>
      </c>
      <c r="E52" s="33">
        <f t="shared" ref="E52:E60" si="18">+C52*D52</f>
        <v>62380000</v>
      </c>
      <c r="F52" s="33">
        <v>30080000</v>
      </c>
      <c r="G52" s="32">
        <v>1</v>
      </c>
      <c r="H52" s="33">
        <f t="shared" ref="H52:H60" si="19">+F52*G52</f>
        <v>30080000</v>
      </c>
      <c r="I52" s="33">
        <v>33480000</v>
      </c>
      <c r="J52" s="32">
        <v>1</v>
      </c>
      <c r="K52" s="33">
        <f t="shared" ref="K52:K60" si="20">+I52*J52</f>
        <v>33480000</v>
      </c>
      <c r="N52" s="32" t="s">
        <v>233</v>
      </c>
      <c r="O52" s="33"/>
      <c r="P52" s="32"/>
      <c r="Q52" s="33">
        <f t="shared" ref="Q52:Q60" si="21">+O52*P52</f>
        <v>0</v>
      </c>
      <c r="R52" s="33"/>
      <c r="S52" s="32"/>
      <c r="T52" s="33">
        <f t="shared" ref="T52:T60" si="22">+R52*S52</f>
        <v>0</v>
      </c>
      <c r="U52" s="33"/>
      <c r="V52" s="32"/>
      <c r="W52" s="33">
        <f t="shared" ref="W52:W60" si="23">+U52*V52</f>
        <v>0</v>
      </c>
    </row>
    <row r="53" spans="2:23" hidden="1">
      <c r="B53" s="32" t="s">
        <v>234</v>
      </c>
      <c r="C53" s="33">
        <v>7442417</v>
      </c>
      <c r="D53" s="32">
        <v>2</v>
      </c>
      <c r="E53" s="33">
        <f t="shared" si="18"/>
        <v>14884834</v>
      </c>
      <c r="F53" s="33">
        <v>13361868</v>
      </c>
      <c r="G53" s="32">
        <v>1</v>
      </c>
      <c r="H53" s="33">
        <f t="shared" si="19"/>
        <v>13361868</v>
      </c>
      <c r="I53" s="33">
        <v>10598868</v>
      </c>
      <c r="J53" s="32">
        <v>1</v>
      </c>
      <c r="K53" s="33">
        <f t="shared" si="20"/>
        <v>10598868</v>
      </c>
      <c r="N53" s="32" t="s">
        <v>234</v>
      </c>
      <c r="O53" s="33"/>
      <c r="P53" s="32"/>
      <c r="Q53" s="33">
        <f t="shared" si="21"/>
        <v>0</v>
      </c>
      <c r="R53" s="33"/>
      <c r="S53" s="32"/>
      <c r="T53" s="33">
        <f t="shared" si="22"/>
        <v>0</v>
      </c>
      <c r="U53" s="33"/>
      <c r="V53" s="32"/>
      <c r="W53" s="33">
        <f t="shared" si="23"/>
        <v>0</v>
      </c>
    </row>
    <row r="54" spans="2:23" hidden="1">
      <c r="B54" s="32" t="s">
        <v>235</v>
      </c>
      <c r="C54" s="33">
        <v>6600</v>
      </c>
      <c r="D54" s="32">
        <v>0</v>
      </c>
      <c r="E54" s="33">
        <f t="shared" si="18"/>
        <v>0</v>
      </c>
      <c r="F54" s="33">
        <v>5700</v>
      </c>
      <c r="G54" s="32">
        <v>0</v>
      </c>
      <c r="H54" s="33">
        <f t="shared" si="19"/>
        <v>0</v>
      </c>
      <c r="I54" s="33">
        <v>5700</v>
      </c>
      <c r="J54" s="32">
        <v>0</v>
      </c>
      <c r="K54" s="33">
        <f t="shared" si="20"/>
        <v>0</v>
      </c>
      <c r="N54" s="32" t="s">
        <v>235</v>
      </c>
      <c r="O54" s="33"/>
      <c r="P54" s="32"/>
      <c r="Q54" s="33">
        <f t="shared" si="21"/>
        <v>0</v>
      </c>
      <c r="R54" s="33"/>
      <c r="S54" s="32"/>
      <c r="T54" s="33">
        <f t="shared" si="22"/>
        <v>0</v>
      </c>
      <c r="U54" s="33"/>
      <c r="V54" s="32"/>
      <c r="W54" s="33">
        <f t="shared" si="23"/>
        <v>0</v>
      </c>
    </row>
    <row r="55" spans="2:23" hidden="1">
      <c r="B55" s="32" t="s">
        <v>236</v>
      </c>
      <c r="C55" s="33">
        <v>80300</v>
      </c>
      <c r="D55" s="32">
        <v>8</v>
      </c>
      <c r="E55" s="33">
        <f t="shared" si="18"/>
        <v>642400</v>
      </c>
      <c r="F55" s="33">
        <v>80300</v>
      </c>
      <c r="G55" s="32">
        <v>84</v>
      </c>
      <c r="H55" s="33">
        <f t="shared" si="19"/>
        <v>6745200</v>
      </c>
      <c r="I55" s="33">
        <v>80300</v>
      </c>
      <c r="J55" s="32">
        <v>72</v>
      </c>
      <c r="K55" s="33">
        <f t="shared" si="20"/>
        <v>5781600</v>
      </c>
      <c r="N55" s="32" t="s">
        <v>236</v>
      </c>
      <c r="O55" s="33"/>
      <c r="P55" s="32"/>
      <c r="Q55" s="33">
        <f t="shared" si="21"/>
        <v>0</v>
      </c>
      <c r="R55" s="33"/>
      <c r="S55" s="32"/>
      <c r="T55" s="33">
        <f t="shared" si="22"/>
        <v>0</v>
      </c>
      <c r="U55" s="33"/>
      <c r="V55" s="32"/>
      <c r="W55" s="33">
        <f t="shared" si="23"/>
        <v>0</v>
      </c>
    </row>
    <row r="56" spans="2:23" hidden="1">
      <c r="B56" s="32" t="s">
        <v>237</v>
      </c>
      <c r="C56" s="33">
        <v>1000000</v>
      </c>
      <c r="D56" s="32">
        <v>6</v>
      </c>
      <c r="E56" s="33">
        <f t="shared" si="18"/>
        <v>6000000</v>
      </c>
      <c r="F56" s="33">
        <v>1100000</v>
      </c>
      <c r="G56" s="32">
        <v>4</v>
      </c>
      <c r="H56" s="33">
        <f t="shared" si="19"/>
        <v>4400000</v>
      </c>
      <c r="I56" s="33">
        <v>1100000</v>
      </c>
      <c r="J56" s="32">
        <v>5</v>
      </c>
      <c r="K56" s="33">
        <f t="shared" si="20"/>
        <v>5500000</v>
      </c>
      <c r="N56" s="32" t="s">
        <v>237</v>
      </c>
      <c r="O56" s="33"/>
      <c r="P56" s="32"/>
      <c r="Q56" s="33">
        <f t="shared" si="21"/>
        <v>0</v>
      </c>
      <c r="R56" s="33"/>
      <c r="S56" s="32"/>
      <c r="T56" s="33">
        <f t="shared" si="22"/>
        <v>0</v>
      </c>
      <c r="U56" s="33"/>
      <c r="V56" s="32"/>
      <c r="W56" s="33">
        <f t="shared" si="23"/>
        <v>0</v>
      </c>
    </row>
    <row r="57" spans="2:23" hidden="1">
      <c r="B57" s="32" t="s">
        <v>238</v>
      </c>
      <c r="C57" s="33">
        <v>500000</v>
      </c>
      <c r="D57" s="32">
        <v>0</v>
      </c>
      <c r="E57" s="33">
        <f t="shared" si="18"/>
        <v>0</v>
      </c>
      <c r="F57" s="33">
        <v>550000</v>
      </c>
      <c r="G57" s="32">
        <v>0</v>
      </c>
      <c r="H57" s="33">
        <f t="shared" si="19"/>
        <v>0</v>
      </c>
      <c r="I57" s="33">
        <v>550000</v>
      </c>
      <c r="J57" s="32">
        <v>0</v>
      </c>
      <c r="K57" s="33">
        <f t="shared" si="20"/>
        <v>0</v>
      </c>
      <c r="N57" s="32" t="s">
        <v>238</v>
      </c>
      <c r="O57" s="33"/>
      <c r="P57" s="32"/>
      <c r="Q57" s="33">
        <f t="shared" si="21"/>
        <v>0</v>
      </c>
      <c r="R57" s="33"/>
      <c r="S57" s="32"/>
      <c r="T57" s="33">
        <f t="shared" si="22"/>
        <v>0</v>
      </c>
      <c r="U57" s="33"/>
      <c r="V57" s="32"/>
      <c r="W57" s="33">
        <f t="shared" si="23"/>
        <v>0</v>
      </c>
    </row>
    <row r="58" spans="2:23" hidden="1">
      <c r="B58" s="32" t="s">
        <v>239</v>
      </c>
      <c r="C58" s="33">
        <v>420000</v>
      </c>
      <c r="D58" s="32">
        <v>0</v>
      </c>
      <c r="E58" s="33">
        <f t="shared" si="18"/>
        <v>0</v>
      </c>
      <c r="F58" s="33">
        <v>420000</v>
      </c>
      <c r="G58" s="32">
        <v>0</v>
      </c>
      <c r="H58" s="33">
        <f t="shared" si="19"/>
        <v>0</v>
      </c>
      <c r="I58" s="33">
        <v>420000</v>
      </c>
      <c r="J58" s="32">
        <v>0</v>
      </c>
      <c r="K58" s="33">
        <f t="shared" si="20"/>
        <v>0</v>
      </c>
      <c r="N58" s="32" t="s">
        <v>239</v>
      </c>
      <c r="O58" s="33"/>
      <c r="P58" s="32"/>
      <c r="Q58" s="33">
        <f t="shared" si="21"/>
        <v>0</v>
      </c>
      <c r="R58" s="33"/>
      <c r="S58" s="32"/>
      <c r="T58" s="33">
        <f t="shared" si="22"/>
        <v>0</v>
      </c>
      <c r="U58" s="33"/>
      <c r="V58" s="32"/>
      <c r="W58" s="33">
        <f t="shared" si="23"/>
        <v>0</v>
      </c>
    </row>
    <row r="59" spans="2:23" hidden="1">
      <c r="B59" s="32" t="s">
        <v>240</v>
      </c>
      <c r="C59" s="33">
        <v>450000</v>
      </c>
      <c r="D59" s="32">
        <v>0</v>
      </c>
      <c r="E59" s="33">
        <f t="shared" si="18"/>
        <v>0</v>
      </c>
      <c r="F59" s="33">
        <v>450000</v>
      </c>
      <c r="G59" s="32">
        <v>0</v>
      </c>
      <c r="H59" s="33">
        <f t="shared" si="19"/>
        <v>0</v>
      </c>
      <c r="I59" s="33">
        <v>450000</v>
      </c>
      <c r="J59" s="32">
        <v>0</v>
      </c>
      <c r="K59" s="33">
        <f t="shared" si="20"/>
        <v>0</v>
      </c>
      <c r="N59" s="32" t="s">
        <v>240</v>
      </c>
      <c r="O59" s="33"/>
      <c r="P59" s="32"/>
      <c r="Q59" s="33">
        <f t="shared" si="21"/>
        <v>0</v>
      </c>
      <c r="R59" s="33"/>
      <c r="S59" s="32"/>
      <c r="T59" s="33">
        <f t="shared" si="22"/>
        <v>0</v>
      </c>
      <c r="U59" s="33"/>
      <c r="V59" s="32"/>
      <c r="W59" s="33">
        <f t="shared" si="23"/>
        <v>0</v>
      </c>
    </row>
    <row r="60" spans="2:23" hidden="1">
      <c r="B60" s="32" t="s">
        <v>183</v>
      </c>
      <c r="C60" s="33">
        <v>5700</v>
      </c>
      <c r="D60" s="32">
        <v>43</v>
      </c>
      <c r="E60" s="33">
        <f t="shared" si="18"/>
        <v>245100</v>
      </c>
      <c r="F60" s="33">
        <v>5700</v>
      </c>
      <c r="G60" s="32">
        <v>2047</v>
      </c>
      <c r="H60" s="33">
        <f t="shared" si="19"/>
        <v>11667900</v>
      </c>
      <c r="I60" s="33">
        <v>5700</v>
      </c>
      <c r="J60" s="32">
        <v>1815</v>
      </c>
      <c r="K60" s="33">
        <f t="shared" si="20"/>
        <v>10345500</v>
      </c>
      <c r="N60" s="32" t="s">
        <v>241</v>
      </c>
      <c r="O60" s="33"/>
      <c r="P60" s="32"/>
      <c r="Q60" s="33">
        <f t="shared" si="21"/>
        <v>0</v>
      </c>
      <c r="R60" s="33"/>
      <c r="S60" s="32"/>
      <c r="T60" s="33">
        <f t="shared" si="22"/>
        <v>0</v>
      </c>
      <c r="U60" s="33"/>
      <c r="V60" s="32"/>
      <c r="W60" s="33">
        <f t="shared" si="23"/>
        <v>0</v>
      </c>
    </row>
    <row r="61" spans="2:23" s="2" customFormat="1" hidden="1">
      <c r="B61" s="35"/>
      <c r="C61" s="35"/>
      <c r="D61" s="31" t="s">
        <v>48</v>
      </c>
      <c r="E61" s="36">
        <f>SUM(E52:E60)</f>
        <v>84152334</v>
      </c>
      <c r="F61" s="35"/>
      <c r="G61" s="31" t="s">
        <v>48</v>
      </c>
      <c r="H61" s="36">
        <f>SUM(H52:H60)</f>
        <v>66254968</v>
      </c>
      <c r="I61" s="35"/>
      <c r="J61" s="31" t="s">
        <v>48</v>
      </c>
      <c r="K61" s="36">
        <f>SUM(K52:K60)</f>
        <v>65705968</v>
      </c>
      <c r="N61" s="35"/>
      <c r="O61" s="35"/>
      <c r="P61" s="31" t="s">
        <v>48</v>
      </c>
      <c r="Q61" s="36">
        <f>SUM(Q52:Q60)</f>
        <v>0</v>
      </c>
      <c r="R61" s="35"/>
      <c r="S61" s="31" t="s">
        <v>48</v>
      </c>
      <c r="T61" s="51">
        <f>SUM(T52:T60)</f>
        <v>0</v>
      </c>
      <c r="U61" s="35"/>
      <c r="V61" s="31" t="s">
        <v>48</v>
      </c>
      <c r="W61" s="36">
        <f>SUM(W52:W60)</f>
        <v>0</v>
      </c>
    </row>
    <row r="62" spans="2:23" hidden="1">
      <c r="K62" s="49"/>
      <c r="W62" s="49">
        <f>(Q15+T15+W15)/3</f>
        <v>333396510.71031743</v>
      </c>
    </row>
    <row r="63" spans="2:23" hidden="1">
      <c r="K63" s="49"/>
      <c r="W63" s="49"/>
    </row>
    <row r="64" spans="2:23" hidden="1">
      <c r="K64" s="49"/>
      <c r="W64" s="49"/>
    </row>
    <row r="65" spans="2:42" hidden="1">
      <c r="C65" s="29" t="s">
        <v>312</v>
      </c>
      <c r="F65" s="29" t="s">
        <v>309</v>
      </c>
      <c r="I65" s="29" t="s">
        <v>313</v>
      </c>
      <c r="S65" s="29" t="s">
        <v>158</v>
      </c>
      <c r="W65" s="49"/>
      <c r="AI65" s="38"/>
      <c r="AJ65" s="38"/>
      <c r="AK65" s="38"/>
      <c r="AL65" s="38"/>
      <c r="AM65" s="38"/>
      <c r="AN65" s="38"/>
      <c r="AO65" s="38"/>
      <c r="AP65" s="38"/>
    </row>
    <row r="66" spans="2:42" hidden="1">
      <c r="B66" s="379" t="s">
        <v>315</v>
      </c>
      <c r="C66" s="330" t="s">
        <v>316</v>
      </c>
      <c r="D66" s="331"/>
      <c r="E66" s="332"/>
      <c r="F66" s="330" t="s">
        <v>330</v>
      </c>
      <c r="G66" s="331"/>
      <c r="H66" s="332"/>
      <c r="I66" s="330" t="s">
        <v>331</v>
      </c>
      <c r="J66" s="331"/>
      <c r="K66" s="332"/>
      <c r="L66" s="330" t="s">
        <v>317</v>
      </c>
      <c r="M66" s="331"/>
      <c r="N66" s="332"/>
      <c r="O66" s="330" t="s">
        <v>321</v>
      </c>
      <c r="P66" s="331"/>
      <c r="Q66" s="332"/>
      <c r="S66" s="32" t="s">
        <v>15</v>
      </c>
      <c r="T66" s="32" t="s">
        <v>17</v>
      </c>
      <c r="V66" s="330" t="s">
        <v>322</v>
      </c>
      <c r="W66" s="331"/>
      <c r="X66" s="332"/>
      <c r="AA66" s="330" t="s">
        <v>332</v>
      </c>
      <c r="AB66" s="331"/>
      <c r="AC66" s="332"/>
      <c r="AE66" s="330" t="s">
        <v>333</v>
      </c>
      <c r="AF66" s="331"/>
      <c r="AG66" s="332"/>
      <c r="AI66" s="69"/>
      <c r="AJ66" s="330" t="s">
        <v>334</v>
      </c>
      <c r="AK66" s="331"/>
      <c r="AL66" s="332"/>
      <c r="AM66" s="378"/>
      <c r="AN66" s="378"/>
      <c r="AO66" s="378"/>
      <c r="AP66" s="38"/>
    </row>
    <row r="67" spans="2:42" hidden="1">
      <c r="B67" s="380"/>
      <c r="C67" s="30" t="s">
        <v>180</v>
      </c>
      <c r="D67" s="31" t="s">
        <v>41</v>
      </c>
      <c r="E67" s="31" t="s">
        <v>44</v>
      </c>
      <c r="F67" s="30" t="s">
        <v>180</v>
      </c>
      <c r="G67" s="31" t="s">
        <v>41</v>
      </c>
      <c r="H67" s="31" t="s">
        <v>44</v>
      </c>
      <c r="I67" s="30" t="s">
        <v>180</v>
      </c>
      <c r="J67" s="31" t="s">
        <v>41</v>
      </c>
      <c r="K67" s="31" t="s">
        <v>44</v>
      </c>
      <c r="L67" s="30" t="s">
        <v>180</v>
      </c>
      <c r="M67" s="31" t="s">
        <v>41</v>
      </c>
      <c r="N67" s="31" t="s">
        <v>44</v>
      </c>
      <c r="O67" s="30" t="s">
        <v>180</v>
      </c>
      <c r="P67" s="31" t="s">
        <v>41</v>
      </c>
      <c r="Q67" s="31" t="s">
        <v>44</v>
      </c>
      <c r="S67" s="32">
        <v>2.8472222222222201E-2</v>
      </c>
      <c r="T67" s="33">
        <v>1.52777777777778E-2</v>
      </c>
      <c r="V67" s="30" t="s">
        <v>180</v>
      </c>
      <c r="W67" s="31" t="s">
        <v>41</v>
      </c>
      <c r="X67" s="31" t="s">
        <v>44</v>
      </c>
      <c r="AA67" s="30" t="s">
        <v>180</v>
      </c>
      <c r="AB67" s="31" t="s">
        <v>41</v>
      </c>
      <c r="AC67" s="31" t="s">
        <v>44</v>
      </c>
      <c r="AE67" s="30" t="s">
        <v>180</v>
      </c>
      <c r="AF67" s="31" t="s">
        <v>41</v>
      </c>
      <c r="AG67" s="31" t="s">
        <v>44</v>
      </c>
      <c r="AI67" s="70"/>
      <c r="AJ67" s="30" t="s">
        <v>180</v>
      </c>
      <c r="AK67" s="31" t="s">
        <v>41</v>
      </c>
      <c r="AL67" s="31" t="s">
        <v>44</v>
      </c>
      <c r="AM67" s="70"/>
      <c r="AN67" s="42"/>
      <c r="AO67" s="42"/>
      <c r="AP67" s="38"/>
    </row>
    <row r="68" spans="2:42" hidden="1">
      <c r="B68" s="32" t="s">
        <v>233</v>
      </c>
      <c r="C68" s="66">
        <v>31384000</v>
      </c>
      <c r="D68" s="32">
        <v>2</v>
      </c>
      <c r="E68" s="33">
        <f t="shared" ref="E68:E76" si="24">+C68*D68</f>
        <v>62768000</v>
      </c>
      <c r="F68" s="33">
        <v>29913000</v>
      </c>
      <c r="G68" s="32">
        <v>1</v>
      </c>
      <c r="H68" s="33">
        <f t="shared" ref="H68:H76" si="25">+F68*G68</f>
        <v>29913000</v>
      </c>
      <c r="I68" s="33">
        <v>31063000</v>
      </c>
      <c r="J68" s="32">
        <v>1</v>
      </c>
      <c r="K68" s="33">
        <f t="shared" ref="K68:K76" si="26">+I68*J68</f>
        <v>31063000</v>
      </c>
      <c r="L68" s="33">
        <v>31913000</v>
      </c>
      <c r="M68" s="32">
        <v>1</v>
      </c>
      <c r="N68" s="33">
        <f t="shared" ref="N68:N76" si="27">+L68*M68</f>
        <v>31913000</v>
      </c>
      <c r="O68" s="33">
        <v>38328000</v>
      </c>
      <c r="P68" s="32">
        <v>1</v>
      </c>
      <c r="Q68" s="33">
        <f t="shared" ref="Q68:Q76" si="28">+O68*P68</f>
        <v>38328000</v>
      </c>
      <c r="S68" s="32">
        <v>4.72222222222222E-2</v>
      </c>
      <c r="T68" s="33">
        <v>2.5000000000000001E-2</v>
      </c>
      <c r="V68" s="66">
        <v>31384000</v>
      </c>
      <c r="W68" s="32">
        <v>2</v>
      </c>
      <c r="X68" s="33">
        <f t="shared" ref="X68:X76" si="29">+V68*W68</f>
        <v>62768000</v>
      </c>
      <c r="AA68" s="33">
        <v>40285000</v>
      </c>
      <c r="AB68" s="32">
        <v>1</v>
      </c>
      <c r="AC68" s="33">
        <f t="shared" ref="AC68:AC76" si="30">+AA68*AB68</f>
        <v>40285000</v>
      </c>
      <c r="AE68" s="33">
        <v>37948000</v>
      </c>
      <c r="AF68" s="32">
        <v>1</v>
      </c>
      <c r="AG68" s="33">
        <f t="shared" ref="AG68:AG76" si="31">+AE68*AF68</f>
        <v>37948000</v>
      </c>
      <c r="AI68" s="71"/>
      <c r="AJ68" s="33"/>
      <c r="AK68" s="32">
        <v>1</v>
      </c>
      <c r="AL68" s="33">
        <f t="shared" ref="AL68:AL76" si="32">+AJ68*AK68</f>
        <v>0</v>
      </c>
      <c r="AM68" s="71"/>
      <c r="AN68" s="38"/>
      <c r="AO68" s="71"/>
      <c r="AP68" s="38"/>
    </row>
    <row r="69" spans="2:42" hidden="1">
      <c r="B69" s="32" t="s">
        <v>234</v>
      </c>
      <c r="C69" s="33">
        <v>6355000</v>
      </c>
      <c r="D69" s="32">
        <v>2</v>
      </c>
      <c r="E69" s="33">
        <f t="shared" si="24"/>
        <v>12710000</v>
      </c>
      <c r="F69" s="33">
        <v>12434000</v>
      </c>
      <c r="G69" s="32">
        <v>1</v>
      </c>
      <c r="H69" s="33">
        <f t="shared" si="25"/>
        <v>12434000</v>
      </c>
      <c r="I69" s="33">
        <v>8565000</v>
      </c>
      <c r="J69" s="32">
        <v>1</v>
      </c>
      <c r="K69" s="33">
        <f t="shared" si="26"/>
        <v>8565000</v>
      </c>
      <c r="L69" s="33">
        <v>12434000</v>
      </c>
      <c r="M69" s="32">
        <v>1</v>
      </c>
      <c r="N69" s="33">
        <f t="shared" si="27"/>
        <v>12434000</v>
      </c>
      <c r="O69" s="33">
        <v>7031000</v>
      </c>
      <c r="P69" s="32">
        <v>1</v>
      </c>
      <c r="Q69" s="33">
        <f t="shared" si="28"/>
        <v>7031000</v>
      </c>
      <c r="S69" s="32">
        <v>3.6805555555555501E-2</v>
      </c>
      <c r="T69" s="33"/>
      <c r="V69" s="33">
        <v>6355000</v>
      </c>
      <c r="W69" s="32">
        <v>2</v>
      </c>
      <c r="X69" s="33">
        <f t="shared" si="29"/>
        <v>12710000</v>
      </c>
      <c r="AA69" s="33">
        <v>5216000</v>
      </c>
      <c r="AB69" s="32">
        <v>1</v>
      </c>
      <c r="AC69" s="33">
        <f t="shared" si="30"/>
        <v>5216000</v>
      </c>
      <c r="AE69" s="33">
        <v>5126000</v>
      </c>
      <c r="AF69" s="32">
        <v>1</v>
      </c>
      <c r="AG69" s="33">
        <f t="shared" si="31"/>
        <v>5126000</v>
      </c>
      <c r="AI69" s="71"/>
      <c r="AJ69" s="33"/>
      <c r="AK69" s="32">
        <v>1</v>
      </c>
      <c r="AL69" s="33">
        <f t="shared" si="32"/>
        <v>0</v>
      </c>
      <c r="AM69" s="71"/>
      <c r="AN69" s="38"/>
      <c r="AO69" s="71"/>
      <c r="AP69" s="38"/>
    </row>
    <row r="70" spans="2:42" hidden="1">
      <c r="B70" s="32" t="s">
        <v>235</v>
      </c>
      <c r="C70" s="33">
        <v>6600</v>
      </c>
      <c r="D70" s="32">
        <v>0</v>
      </c>
      <c r="E70" s="33">
        <f t="shared" si="24"/>
        <v>0</v>
      </c>
      <c r="F70" s="33">
        <v>6600</v>
      </c>
      <c r="G70" s="32">
        <v>0</v>
      </c>
      <c r="H70" s="33">
        <f t="shared" si="25"/>
        <v>0</v>
      </c>
      <c r="I70" s="33">
        <v>6600</v>
      </c>
      <c r="J70" s="32">
        <v>0</v>
      </c>
      <c r="K70" s="33">
        <f t="shared" si="26"/>
        <v>0</v>
      </c>
      <c r="L70" s="33">
        <v>6600</v>
      </c>
      <c r="M70" s="32">
        <v>0</v>
      </c>
      <c r="N70" s="33">
        <f t="shared" si="27"/>
        <v>0</v>
      </c>
      <c r="O70" s="33">
        <v>6600</v>
      </c>
      <c r="P70" s="32">
        <v>0</v>
      </c>
      <c r="Q70" s="33">
        <f t="shared" si="28"/>
        <v>0</v>
      </c>
      <c r="S70" s="32">
        <v>0.05</v>
      </c>
      <c r="T70" s="33"/>
      <c r="V70" s="33">
        <v>6600</v>
      </c>
      <c r="W70" s="32">
        <v>0</v>
      </c>
      <c r="X70" s="33">
        <f t="shared" si="29"/>
        <v>0</v>
      </c>
      <c r="AA70" s="33">
        <v>6600</v>
      </c>
      <c r="AB70" s="32">
        <v>0</v>
      </c>
      <c r="AC70" s="33">
        <f t="shared" si="30"/>
        <v>0</v>
      </c>
      <c r="AE70" s="33">
        <v>6600</v>
      </c>
      <c r="AF70" s="32">
        <v>0</v>
      </c>
      <c r="AG70" s="33">
        <f t="shared" si="31"/>
        <v>0</v>
      </c>
      <c r="AI70" s="71"/>
      <c r="AJ70" s="33">
        <v>6600</v>
      </c>
      <c r="AK70" s="32">
        <v>0</v>
      </c>
      <c r="AL70" s="33">
        <f t="shared" si="32"/>
        <v>0</v>
      </c>
      <c r="AM70" s="71"/>
      <c r="AN70" s="38"/>
      <c r="AO70" s="71"/>
      <c r="AP70" s="38"/>
    </row>
    <row r="71" spans="2:42" hidden="1">
      <c r="B71" s="32" t="s">
        <v>236</v>
      </c>
      <c r="C71" s="33">
        <v>80300</v>
      </c>
      <c r="D71" s="32">
        <v>8</v>
      </c>
      <c r="E71" s="33">
        <f t="shared" si="24"/>
        <v>642400</v>
      </c>
      <c r="F71" s="33">
        <v>80300</v>
      </c>
      <c r="G71" s="32">
        <f>G55-22</f>
        <v>62</v>
      </c>
      <c r="H71" s="33">
        <f t="shared" si="25"/>
        <v>4978600</v>
      </c>
      <c r="I71" s="33">
        <v>80300</v>
      </c>
      <c r="J71" s="32">
        <f>72-22</f>
        <v>50</v>
      </c>
      <c r="K71" s="33">
        <f t="shared" si="26"/>
        <v>4015000</v>
      </c>
      <c r="L71" s="33">
        <v>80300</v>
      </c>
      <c r="M71" s="32">
        <f>G71</f>
        <v>62</v>
      </c>
      <c r="N71" s="33">
        <f t="shared" si="27"/>
        <v>4978600</v>
      </c>
      <c r="O71" s="33">
        <v>80300</v>
      </c>
      <c r="P71" s="32">
        <f>72-22</f>
        <v>50</v>
      </c>
      <c r="Q71" s="33">
        <f t="shared" si="28"/>
        <v>4015000</v>
      </c>
      <c r="S71" s="32">
        <v>0.16250000000000001</v>
      </c>
      <c r="T71" s="33">
        <v>4.0277777777777801E-2</v>
      </c>
      <c r="V71" s="33">
        <v>80300</v>
      </c>
      <c r="W71" s="32">
        <v>8</v>
      </c>
      <c r="X71" s="33">
        <f t="shared" si="29"/>
        <v>642400</v>
      </c>
      <c r="AA71" s="33">
        <v>80300</v>
      </c>
      <c r="AB71" s="32">
        <v>62</v>
      </c>
      <c r="AC71" s="33">
        <f t="shared" si="30"/>
        <v>4978600</v>
      </c>
      <c r="AE71" s="33">
        <v>80300</v>
      </c>
      <c r="AF71" s="32">
        <v>62</v>
      </c>
      <c r="AG71" s="33">
        <f t="shared" si="31"/>
        <v>4978600</v>
      </c>
      <c r="AI71" s="71"/>
      <c r="AJ71" s="33">
        <v>80300</v>
      </c>
      <c r="AK71" s="32">
        <f>72-22</f>
        <v>50</v>
      </c>
      <c r="AL71" s="33">
        <f t="shared" si="32"/>
        <v>4015000</v>
      </c>
      <c r="AM71" s="71"/>
      <c r="AN71" s="38"/>
      <c r="AO71" s="71"/>
      <c r="AP71" s="38"/>
    </row>
    <row r="72" spans="2:42" hidden="1">
      <c r="B72" s="32" t="s">
        <v>237</v>
      </c>
      <c r="C72" s="33">
        <v>1100000</v>
      </c>
      <c r="D72" s="32">
        <v>6</v>
      </c>
      <c r="E72" s="33">
        <f t="shared" si="24"/>
        <v>6600000</v>
      </c>
      <c r="F72" s="33">
        <v>1100000</v>
      </c>
      <c r="G72" s="32">
        <v>4</v>
      </c>
      <c r="H72" s="33">
        <f t="shared" si="25"/>
        <v>4400000</v>
      </c>
      <c r="I72" s="33">
        <v>1100000</v>
      </c>
      <c r="J72" s="32">
        <v>5</v>
      </c>
      <c r="K72" s="33">
        <f t="shared" si="26"/>
        <v>5500000</v>
      </c>
      <c r="L72" s="33">
        <v>1100000</v>
      </c>
      <c r="M72" s="32">
        <v>4</v>
      </c>
      <c r="N72" s="33">
        <f t="shared" si="27"/>
        <v>4400000</v>
      </c>
      <c r="O72" s="33">
        <v>1100000</v>
      </c>
      <c r="P72" s="32">
        <v>5</v>
      </c>
      <c r="Q72" s="33">
        <f t="shared" si="28"/>
        <v>5500000</v>
      </c>
      <c r="S72" s="32">
        <v>3.9</v>
      </c>
      <c r="T72" s="33">
        <v>0.96666666666666701</v>
      </c>
      <c r="V72" s="33">
        <v>1100000</v>
      </c>
      <c r="W72" s="32">
        <v>6</v>
      </c>
      <c r="X72" s="33">
        <f t="shared" si="29"/>
        <v>6600000</v>
      </c>
      <c r="AA72" s="33">
        <v>1100000</v>
      </c>
      <c r="AB72" s="32">
        <v>4</v>
      </c>
      <c r="AC72" s="33">
        <f t="shared" si="30"/>
        <v>4400000</v>
      </c>
      <c r="AE72" s="33">
        <v>1100000</v>
      </c>
      <c r="AF72" s="32">
        <v>4</v>
      </c>
      <c r="AG72" s="33">
        <f t="shared" si="31"/>
        <v>4400000</v>
      </c>
      <c r="AI72" s="71"/>
      <c r="AJ72" s="33">
        <v>1100000</v>
      </c>
      <c r="AK72" s="32">
        <v>5</v>
      </c>
      <c r="AL72" s="33">
        <f t="shared" si="32"/>
        <v>5500000</v>
      </c>
      <c r="AM72" s="71"/>
      <c r="AN72" s="38"/>
      <c r="AO72" s="71"/>
      <c r="AP72" s="38"/>
    </row>
    <row r="73" spans="2:42" hidden="1">
      <c r="B73" s="32" t="s">
        <v>238</v>
      </c>
      <c r="C73" s="33">
        <v>550000</v>
      </c>
      <c r="D73" s="32">
        <v>0</v>
      </c>
      <c r="E73" s="33">
        <f t="shared" si="24"/>
        <v>0</v>
      </c>
      <c r="F73" s="33">
        <v>550000</v>
      </c>
      <c r="G73" s="32">
        <v>0</v>
      </c>
      <c r="H73" s="33">
        <f t="shared" si="25"/>
        <v>0</v>
      </c>
      <c r="I73" s="33">
        <v>550000</v>
      </c>
      <c r="J73" s="32">
        <v>0</v>
      </c>
      <c r="K73" s="33">
        <f t="shared" si="26"/>
        <v>0</v>
      </c>
      <c r="L73" s="33">
        <v>550000</v>
      </c>
      <c r="M73" s="32">
        <v>0</v>
      </c>
      <c r="N73" s="33">
        <f t="shared" si="27"/>
        <v>0</v>
      </c>
      <c r="O73" s="33">
        <v>550000</v>
      </c>
      <c r="P73" s="32">
        <v>0</v>
      </c>
      <c r="Q73" s="33">
        <f t="shared" si="28"/>
        <v>0</v>
      </c>
      <c r="S73" s="32">
        <v>85.8</v>
      </c>
      <c r="T73" s="33">
        <v>21.266666666666701</v>
      </c>
      <c r="V73" s="33">
        <v>550000</v>
      </c>
      <c r="W73" s="32">
        <v>0</v>
      </c>
      <c r="X73" s="33">
        <f t="shared" si="29"/>
        <v>0</v>
      </c>
      <c r="AA73" s="33">
        <v>550000</v>
      </c>
      <c r="AB73" s="32">
        <v>0</v>
      </c>
      <c r="AC73" s="33">
        <f t="shared" si="30"/>
        <v>0</v>
      </c>
      <c r="AE73" s="33">
        <v>550000</v>
      </c>
      <c r="AF73" s="32">
        <v>0</v>
      </c>
      <c r="AG73" s="33">
        <f t="shared" si="31"/>
        <v>0</v>
      </c>
      <c r="AI73" s="71"/>
      <c r="AJ73" s="33">
        <v>550000</v>
      </c>
      <c r="AK73" s="32">
        <v>0</v>
      </c>
      <c r="AL73" s="33">
        <f t="shared" si="32"/>
        <v>0</v>
      </c>
      <c r="AM73" s="71"/>
      <c r="AN73" s="38"/>
      <c r="AO73" s="71"/>
      <c r="AP73" s="38"/>
    </row>
    <row r="74" spans="2:42" hidden="1">
      <c r="B74" s="32" t="s">
        <v>239</v>
      </c>
      <c r="C74" s="33">
        <v>420000</v>
      </c>
      <c r="D74" s="32">
        <v>0</v>
      </c>
      <c r="E74" s="33">
        <f t="shared" si="24"/>
        <v>0</v>
      </c>
      <c r="F74" s="33">
        <v>420000</v>
      </c>
      <c r="G74" s="32">
        <v>0</v>
      </c>
      <c r="H74" s="33">
        <f t="shared" si="25"/>
        <v>0</v>
      </c>
      <c r="I74" s="33">
        <v>420000</v>
      </c>
      <c r="J74" s="32">
        <v>0</v>
      </c>
      <c r="K74" s="33">
        <f t="shared" si="26"/>
        <v>0</v>
      </c>
      <c r="L74" s="33">
        <v>420000</v>
      </c>
      <c r="M74" s="32">
        <v>0</v>
      </c>
      <c r="N74" s="33">
        <f t="shared" si="27"/>
        <v>0</v>
      </c>
      <c r="O74" s="33">
        <v>420000</v>
      </c>
      <c r="P74" s="32">
        <v>0</v>
      </c>
      <c r="Q74" s="33">
        <f t="shared" si="28"/>
        <v>0</v>
      </c>
      <c r="V74" s="33">
        <v>420000</v>
      </c>
      <c r="W74" s="32">
        <v>0</v>
      </c>
      <c r="X74" s="33">
        <f t="shared" si="29"/>
        <v>0</v>
      </c>
      <c r="AA74" s="33">
        <v>420000</v>
      </c>
      <c r="AB74" s="32">
        <v>0</v>
      </c>
      <c r="AC74" s="33">
        <f t="shared" si="30"/>
        <v>0</v>
      </c>
      <c r="AE74" s="33">
        <v>420000</v>
      </c>
      <c r="AF74" s="32">
        <v>0</v>
      </c>
      <c r="AG74" s="33">
        <f t="shared" si="31"/>
        <v>0</v>
      </c>
      <c r="AI74" s="71"/>
      <c r="AJ74" s="33">
        <v>420000</v>
      </c>
      <c r="AK74" s="32">
        <v>0</v>
      </c>
      <c r="AL74" s="33">
        <f t="shared" si="32"/>
        <v>0</v>
      </c>
      <c r="AM74" s="71"/>
      <c r="AN74" s="38"/>
      <c r="AO74" s="71"/>
      <c r="AP74" s="38"/>
    </row>
    <row r="75" spans="2:42" hidden="1">
      <c r="B75" s="32" t="s">
        <v>240</v>
      </c>
      <c r="C75" s="33">
        <v>450000</v>
      </c>
      <c r="D75" s="32">
        <v>0</v>
      </c>
      <c r="E75" s="33">
        <f t="shared" si="24"/>
        <v>0</v>
      </c>
      <c r="F75" s="33">
        <v>450000</v>
      </c>
      <c r="G75" s="32">
        <v>0</v>
      </c>
      <c r="H75" s="33">
        <f t="shared" si="25"/>
        <v>0</v>
      </c>
      <c r="I75" s="33">
        <v>450000</v>
      </c>
      <c r="J75" s="32">
        <v>0</v>
      </c>
      <c r="K75" s="33">
        <f t="shared" si="26"/>
        <v>0</v>
      </c>
      <c r="L75" s="33">
        <v>450000</v>
      </c>
      <c r="M75" s="32">
        <v>0</v>
      </c>
      <c r="N75" s="33">
        <f t="shared" si="27"/>
        <v>0</v>
      </c>
      <c r="O75" s="33">
        <v>450000</v>
      </c>
      <c r="P75" s="32">
        <v>0</v>
      </c>
      <c r="Q75" s="33">
        <f t="shared" si="28"/>
        <v>0</v>
      </c>
      <c r="V75" s="33">
        <v>450000</v>
      </c>
      <c r="W75" s="32">
        <v>0</v>
      </c>
      <c r="X75" s="33">
        <f t="shared" si="29"/>
        <v>0</v>
      </c>
      <c r="AA75" s="33">
        <v>450000</v>
      </c>
      <c r="AB75" s="32">
        <v>0</v>
      </c>
      <c r="AC75" s="33">
        <f t="shared" si="30"/>
        <v>0</v>
      </c>
      <c r="AE75" s="33">
        <v>450000</v>
      </c>
      <c r="AF75" s="32">
        <v>0</v>
      </c>
      <c r="AG75" s="33">
        <f t="shared" si="31"/>
        <v>0</v>
      </c>
      <c r="AI75" s="71"/>
      <c r="AJ75" s="33">
        <v>450000</v>
      </c>
      <c r="AK75" s="32">
        <v>0</v>
      </c>
      <c r="AL75" s="33">
        <f t="shared" si="32"/>
        <v>0</v>
      </c>
      <c r="AM75" s="71"/>
      <c r="AN75" s="38"/>
      <c r="AO75" s="71"/>
      <c r="AP75" s="38"/>
    </row>
    <row r="76" spans="2:42" hidden="1">
      <c r="B76" s="32" t="s">
        <v>183</v>
      </c>
      <c r="C76" s="33">
        <v>5700</v>
      </c>
      <c r="D76" s="32">
        <v>0</v>
      </c>
      <c r="E76" s="33">
        <f t="shared" si="24"/>
        <v>0</v>
      </c>
      <c r="F76" s="33">
        <v>5700</v>
      </c>
      <c r="G76" s="32">
        <v>0</v>
      </c>
      <c r="H76" s="33">
        <f t="shared" si="25"/>
        <v>0</v>
      </c>
      <c r="I76" s="33">
        <v>5700</v>
      </c>
      <c r="J76" s="32">
        <v>0</v>
      </c>
      <c r="K76" s="33">
        <f t="shared" si="26"/>
        <v>0</v>
      </c>
      <c r="L76" s="33">
        <v>5700</v>
      </c>
      <c r="M76" s="32">
        <v>0</v>
      </c>
      <c r="N76" s="33">
        <f t="shared" si="27"/>
        <v>0</v>
      </c>
      <c r="O76" s="33">
        <v>5700</v>
      </c>
      <c r="P76" s="32">
        <v>0</v>
      </c>
      <c r="Q76" s="33">
        <f t="shared" si="28"/>
        <v>0</v>
      </c>
      <c r="V76" s="33">
        <v>5700</v>
      </c>
      <c r="W76" s="32">
        <v>0</v>
      </c>
      <c r="X76" s="33">
        <f t="shared" si="29"/>
        <v>0</v>
      </c>
      <c r="AA76" s="33">
        <v>5700</v>
      </c>
      <c r="AB76" s="32">
        <v>0</v>
      </c>
      <c r="AC76" s="33">
        <f t="shared" si="30"/>
        <v>0</v>
      </c>
      <c r="AE76" s="33">
        <v>5700</v>
      </c>
      <c r="AF76" s="32">
        <v>0</v>
      </c>
      <c r="AG76" s="33">
        <f t="shared" si="31"/>
        <v>0</v>
      </c>
      <c r="AI76" s="71"/>
      <c r="AJ76" s="33">
        <v>5700</v>
      </c>
      <c r="AK76" s="32">
        <v>0</v>
      </c>
      <c r="AL76" s="33">
        <f t="shared" si="32"/>
        <v>0</v>
      </c>
      <c r="AM76" s="71"/>
      <c r="AN76" s="38"/>
      <c r="AO76" s="71"/>
      <c r="AP76" s="38"/>
    </row>
    <row r="77" spans="2:42" s="2" customFormat="1" hidden="1">
      <c r="B77" s="35"/>
      <c r="C77" s="35"/>
      <c r="D77" s="31" t="s">
        <v>48</v>
      </c>
      <c r="E77" s="36">
        <f>SUM(E68:E76)</f>
        <v>82720400</v>
      </c>
      <c r="F77" s="35"/>
      <c r="G77" s="31" t="s">
        <v>48</v>
      </c>
      <c r="H77" s="36">
        <f>SUM(H68:H76)</f>
        <v>51725600</v>
      </c>
      <c r="I77" s="35"/>
      <c r="J77" s="31" t="s">
        <v>48</v>
      </c>
      <c r="K77" s="36">
        <f>SUM(K68:K76)</f>
        <v>49143000</v>
      </c>
      <c r="L77" s="35"/>
      <c r="M77" s="31" t="s">
        <v>48</v>
      </c>
      <c r="N77" s="51">
        <f>SUM(N68:N76)</f>
        <v>53725600</v>
      </c>
      <c r="O77" s="35"/>
      <c r="P77" s="31" t="s">
        <v>48</v>
      </c>
      <c r="Q77" s="36">
        <f>SUM(Q68:Q76)</f>
        <v>54874000</v>
      </c>
      <c r="R77" s="29"/>
      <c r="S77" s="29"/>
      <c r="T77" s="29"/>
      <c r="U77" s="29"/>
      <c r="V77" s="35"/>
      <c r="W77" s="31" t="s">
        <v>48</v>
      </c>
      <c r="X77" s="36">
        <f>SUM(X68:X76)</f>
        <v>82720400</v>
      </c>
      <c r="AA77" s="35"/>
      <c r="AB77" s="31" t="s">
        <v>48</v>
      </c>
      <c r="AC77" s="51">
        <f>SUM(AC68:AC76)</f>
        <v>54879600</v>
      </c>
      <c r="AE77" s="35"/>
      <c r="AF77" s="31" t="s">
        <v>48</v>
      </c>
      <c r="AG77" s="51">
        <f>SUM(AG68:AG76)</f>
        <v>52452600</v>
      </c>
      <c r="AI77" s="41"/>
      <c r="AJ77" s="35"/>
      <c r="AK77" s="31" t="s">
        <v>48</v>
      </c>
      <c r="AL77" s="36">
        <f>SUM(AL68:AL76)</f>
        <v>9515000</v>
      </c>
      <c r="AM77" s="41"/>
      <c r="AN77" s="42"/>
      <c r="AO77" s="52"/>
      <c r="AP77" s="41"/>
    </row>
    <row r="78" spans="2:42" hidden="1">
      <c r="K78" s="49"/>
      <c r="AI78" s="38"/>
      <c r="AJ78" s="38"/>
      <c r="AK78" s="38"/>
      <c r="AL78" s="38"/>
      <c r="AM78" s="38"/>
      <c r="AN78" s="38"/>
      <c r="AO78" s="38"/>
      <c r="AP78" s="38"/>
    </row>
    <row r="79" spans="2:42" hidden="1">
      <c r="K79" s="49"/>
    </row>
    <row r="80" spans="2:42" hidden="1">
      <c r="H80" s="56"/>
      <c r="K80" s="49"/>
      <c r="W80" s="49"/>
    </row>
    <row r="81" spans="2:23" hidden="1">
      <c r="H81" s="56"/>
      <c r="K81" s="49"/>
      <c r="W81" s="49"/>
    </row>
    <row r="82" spans="2:23">
      <c r="K82" s="49"/>
      <c r="W82" s="49"/>
    </row>
    <row r="83" spans="2:23" ht="15" customHeight="1">
      <c r="B83" s="39"/>
      <c r="C83" s="29" t="s">
        <v>335</v>
      </c>
      <c r="F83" s="29" t="s">
        <v>254</v>
      </c>
      <c r="I83" s="29" t="s">
        <v>291</v>
      </c>
      <c r="K83" s="49"/>
      <c r="W83" s="49"/>
    </row>
    <row r="84" spans="2:23" ht="15" customHeight="1">
      <c r="B84" s="340" t="s">
        <v>336</v>
      </c>
      <c r="C84" s="330" t="s">
        <v>10</v>
      </c>
      <c r="D84" s="331"/>
      <c r="E84" s="332"/>
      <c r="F84" s="330" t="s">
        <v>15</v>
      </c>
      <c r="G84" s="331"/>
      <c r="H84" s="332"/>
      <c r="I84" s="330" t="s">
        <v>17</v>
      </c>
      <c r="J84" s="331"/>
      <c r="K84" s="332"/>
      <c r="N84" s="340" t="s">
        <v>336</v>
      </c>
      <c r="O84" s="330" t="s">
        <v>10</v>
      </c>
      <c r="P84" s="331"/>
      <c r="Q84" s="332"/>
      <c r="R84" s="330" t="s">
        <v>15</v>
      </c>
      <c r="S84" s="331"/>
      <c r="T84" s="332"/>
      <c r="U84" s="330" t="s">
        <v>17</v>
      </c>
      <c r="V84" s="331"/>
      <c r="W84" s="332"/>
    </row>
    <row r="85" spans="2:23" ht="15" customHeight="1">
      <c r="B85" s="341"/>
      <c r="C85" s="30" t="s">
        <v>180</v>
      </c>
      <c r="D85" s="31" t="s">
        <v>41</v>
      </c>
      <c r="E85" s="31" t="s">
        <v>44</v>
      </c>
      <c r="F85" s="30" t="s">
        <v>180</v>
      </c>
      <c r="G85" s="31" t="s">
        <v>41</v>
      </c>
      <c r="H85" s="31" t="s">
        <v>44</v>
      </c>
      <c r="I85" s="30" t="s">
        <v>180</v>
      </c>
      <c r="J85" s="31" t="s">
        <v>41</v>
      </c>
      <c r="K85" s="31" t="s">
        <v>44</v>
      </c>
      <c r="N85" s="341"/>
      <c r="O85" s="30" t="s">
        <v>180</v>
      </c>
      <c r="P85" s="31" t="s">
        <v>41</v>
      </c>
      <c r="Q85" s="31" t="s">
        <v>44</v>
      </c>
      <c r="R85" s="30" t="s">
        <v>180</v>
      </c>
      <c r="S85" s="31" t="s">
        <v>41</v>
      </c>
      <c r="T85" s="31" t="s">
        <v>44</v>
      </c>
      <c r="U85" s="30" t="s">
        <v>180</v>
      </c>
      <c r="V85" s="31" t="s">
        <v>41</v>
      </c>
      <c r="W85" s="31" t="s">
        <v>44</v>
      </c>
    </row>
    <row r="86" spans="2:23" ht="15" customHeight="1">
      <c r="B86" s="32" t="s">
        <v>233</v>
      </c>
      <c r="C86" s="33">
        <v>38536000</v>
      </c>
      <c r="D86" s="32">
        <v>18</v>
      </c>
      <c r="E86" s="33">
        <f t="shared" ref="E86:E94" si="33">+C86*D86</f>
        <v>693648000</v>
      </c>
      <c r="F86" s="33">
        <v>38916000</v>
      </c>
      <c r="G86" s="32">
        <v>19</v>
      </c>
      <c r="H86" s="33">
        <f t="shared" ref="H86:H94" si="34">+F86*G86</f>
        <v>739404000</v>
      </c>
      <c r="I86" s="33">
        <v>38916000</v>
      </c>
      <c r="J86" s="32">
        <v>6</v>
      </c>
      <c r="K86" s="33">
        <f t="shared" ref="K86:K94" si="35">+I86*J86</f>
        <v>233496000</v>
      </c>
      <c r="N86" s="32" t="s">
        <v>233</v>
      </c>
      <c r="O86" s="33">
        <v>38536000</v>
      </c>
      <c r="P86" s="32">
        <v>18</v>
      </c>
      <c r="Q86" s="33">
        <f t="shared" ref="Q86:Q94" si="36">+O86*P86</f>
        <v>693648000</v>
      </c>
      <c r="R86" s="33">
        <v>38916000</v>
      </c>
      <c r="S86" s="32">
        <v>19</v>
      </c>
      <c r="T86" s="33">
        <f t="shared" ref="T86:T94" si="37">+R86*S86</f>
        <v>739404000</v>
      </c>
      <c r="U86" s="33">
        <v>38916000</v>
      </c>
      <c r="V86" s="32">
        <v>6</v>
      </c>
      <c r="W86" s="33">
        <f t="shared" ref="W86:W94" si="38">+U86*V86</f>
        <v>233496000</v>
      </c>
    </row>
    <row r="87" spans="2:23" ht="15" customHeight="1">
      <c r="B87" s="32" t="s">
        <v>234</v>
      </c>
      <c r="C87" s="33">
        <v>7258000</v>
      </c>
      <c r="D87" s="32">
        <v>18</v>
      </c>
      <c r="E87" s="33">
        <f t="shared" si="33"/>
        <v>130644000</v>
      </c>
      <c r="F87" s="33">
        <v>9752000</v>
      </c>
      <c r="G87" s="32">
        <v>19</v>
      </c>
      <c r="H87" s="33">
        <f t="shared" si="34"/>
        <v>185288000</v>
      </c>
      <c r="I87" s="33">
        <v>9752000</v>
      </c>
      <c r="J87" s="32">
        <v>6</v>
      </c>
      <c r="K87" s="33">
        <f t="shared" si="35"/>
        <v>58512000</v>
      </c>
      <c r="N87" s="32" t="s">
        <v>234</v>
      </c>
      <c r="O87" s="33">
        <v>7258000</v>
      </c>
      <c r="P87" s="32">
        <v>18</v>
      </c>
      <c r="Q87" s="33">
        <f t="shared" si="36"/>
        <v>130644000</v>
      </c>
      <c r="R87" s="33">
        <v>9752000</v>
      </c>
      <c r="S87" s="32">
        <v>19</v>
      </c>
      <c r="T87" s="33">
        <f t="shared" si="37"/>
        <v>185288000</v>
      </c>
      <c r="U87" s="33">
        <v>9752000</v>
      </c>
      <c r="V87" s="32">
        <v>6</v>
      </c>
      <c r="W87" s="33">
        <f t="shared" si="38"/>
        <v>58512000</v>
      </c>
    </row>
    <row r="88" spans="2:23" ht="15" customHeight="1">
      <c r="B88" s="32" t="s">
        <v>235</v>
      </c>
      <c r="C88" s="33">
        <v>6600</v>
      </c>
      <c r="D88" s="33">
        <v>0</v>
      </c>
      <c r="E88" s="33">
        <f t="shared" si="33"/>
        <v>0</v>
      </c>
      <c r="F88" s="33">
        <v>6600</v>
      </c>
      <c r="G88" s="32">
        <v>0</v>
      </c>
      <c r="H88" s="33">
        <f t="shared" si="34"/>
        <v>0</v>
      </c>
      <c r="I88" s="33">
        <v>6600</v>
      </c>
      <c r="J88" s="32">
        <v>0</v>
      </c>
      <c r="K88" s="33">
        <f t="shared" si="35"/>
        <v>0</v>
      </c>
      <c r="N88" s="32" t="s">
        <v>235</v>
      </c>
      <c r="O88" s="33">
        <v>4300</v>
      </c>
      <c r="P88" s="33">
        <v>0</v>
      </c>
      <c r="Q88" s="33">
        <f t="shared" si="36"/>
        <v>0</v>
      </c>
      <c r="R88" s="33">
        <v>4300</v>
      </c>
      <c r="S88" s="32">
        <v>0</v>
      </c>
      <c r="T88" s="33">
        <f t="shared" si="37"/>
        <v>0</v>
      </c>
      <c r="U88" s="33">
        <v>4300</v>
      </c>
      <c r="V88" s="32">
        <v>0</v>
      </c>
      <c r="W88" s="33">
        <f t="shared" si="38"/>
        <v>0</v>
      </c>
    </row>
    <row r="89" spans="2:23" ht="15" customHeight="1">
      <c r="B89" s="32" t="s">
        <v>236</v>
      </c>
      <c r="C89" s="33">
        <v>80300</v>
      </c>
      <c r="D89" s="33">
        <v>372.56543542074297</v>
      </c>
      <c r="E89" s="33">
        <f t="shared" si="33"/>
        <v>29917004.464285661</v>
      </c>
      <c r="F89" s="33">
        <v>80300</v>
      </c>
      <c r="G89" s="64">
        <v>647.20000000000005</v>
      </c>
      <c r="H89" s="33">
        <f t="shared" si="34"/>
        <v>51970160</v>
      </c>
      <c r="I89" s="33">
        <v>80300</v>
      </c>
      <c r="J89" s="64">
        <v>122.73333333333299</v>
      </c>
      <c r="K89" s="33">
        <f t="shared" si="35"/>
        <v>9855486.66666664</v>
      </c>
      <c r="N89" s="32" t="s">
        <v>236</v>
      </c>
      <c r="O89" s="33">
        <v>80300</v>
      </c>
      <c r="P89" s="33">
        <v>372.56543542074297</v>
      </c>
      <c r="Q89" s="33">
        <f t="shared" si="36"/>
        <v>29917004.464285661</v>
      </c>
      <c r="R89" s="33">
        <v>80300</v>
      </c>
      <c r="S89" s="64">
        <v>647.20000000000005</v>
      </c>
      <c r="T89" s="33">
        <f t="shared" si="37"/>
        <v>51970160</v>
      </c>
      <c r="U89" s="33">
        <v>80300</v>
      </c>
      <c r="V89" s="64">
        <v>122.73333333333299</v>
      </c>
      <c r="W89" s="33">
        <f t="shared" si="38"/>
        <v>9855486.66666664</v>
      </c>
    </row>
    <row r="90" spans="2:23" ht="15" customHeight="1">
      <c r="B90" s="32" t="s">
        <v>237</v>
      </c>
      <c r="C90" s="33">
        <v>1100000</v>
      </c>
      <c r="D90" s="33">
        <v>4</v>
      </c>
      <c r="E90" s="33">
        <f t="shared" si="33"/>
        <v>4400000</v>
      </c>
      <c r="F90" s="33">
        <v>1100000</v>
      </c>
      <c r="G90" s="32">
        <v>6</v>
      </c>
      <c r="H90" s="33">
        <f t="shared" si="34"/>
        <v>6600000</v>
      </c>
      <c r="I90" s="33">
        <v>1100000</v>
      </c>
      <c r="J90" s="32">
        <v>2</v>
      </c>
      <c r="K90" s="33">
        <f t="shared" si="35"/>
        <v>2200000</v>
      </c>
      <c r="N90" s="32" t="s">
        <v>237</v>
      </c>
      <c r="O90" s="33">
        <v>870000</v>
      </c>
      <c r="P90" s="33">
        <v>4</v>
      </c>
      <c r="Q90" s="33">
        <f t="shared" si="36"/>
        <v>3480000</v>
      </c>
      <c r="R90" s="33">
        <v>870000</v>
      </c>
      <c r="S90" s="32">
        <v>6</v>
      </c>
      <c r="T90" s="33">
        <f t="shared" si="37"/>
        <v>5220000</v>
      </c>
      <c r="U90" s="33">
        <v>870000</v>
      </c>
      <c r="V90" s="32">
        <v>2</v>
      </c>
      <c r="W90" s="33">
        <f t="shared" si="38"/>
        <v>1740000</v>
      </c>
    </row>
    <row r="91" spans="2:23">
      <c r="B91" s="32" t="s">
        <v>238</v>
      </c>
      <c r="C91" s="33">
        <v>550000</v>
      </c>
      <c r="D91" s="33">
        <v>0</v>
      </c>
      <c r="E91" s="33">
        <f t="shared" si="33"/>
        <v>0</v>
      </c>
      <c r="F91" s="33">
        <v>550000</v>
      </c>
      <c r="G91" s="32">
        <v>0</v>
      </c>
      <c r="H91" s="33">
        <f t="shared" si="34"/>
        <v>0</v>
      </c>
      <c r="I91" s="33">
        <v>550000</v>
      </c>
      <c r="J91" s="32">
        <v>0</v>
      </c>
      <c r="K91" s="33">
        <f t="shared" si="35"/>
        <v>0</v>
      </c>
      <c r="N91" s="32" t="s">
        <v>238</v>
      </c>
      <c r="O91" s="33">
        <v>435000</v>
      </c>
      <c r="P91" s="33">
        <v>0</v>
      </c>
      <c r="Q91" s="33">
        <f t="shared" si="36"/>
        <v>0</v>
      </c>
      <c r="R91" s="33">
        <v>435000</v>
      </c>
      <c r="S91" s="32">
        <v>0</v>
      </c>
      <c r="T91" s="33">
        <f t="shared" si="37"/>
        <v>0</v>
      </c>
      <c r="U91" s="33">
        <v>435000</v>
      </c>
      <c r="V91" s="32">
        <v>0</v>
      </c>
      <c r="W91" s="33">
        <f t="shared" si="38"/>
        <v>0</v>
      </c>
    </row>
    <row r="92" spans="2:23">
      <c r="B92" s="32" t="s">
        <v>239</v>
      </c>
      <c r="C92" s="33">
        <v>420000</v>
      </c>
      <c r="D92" s="33">
        <v>0</v>
      </c>
      <c r="E92" s="33">
        <f t="shared" si="33"/>
        <v>0</v>
      </c>
      <c r="F92" s="33">
        <v>420000</v>
      </c>
      <c r="G92" s="32">
        <v>0</v>
      </c>
      <c r="H92" s="33">
        <f t="shared" si="34"/>
        <v>0</v>
      </c>
      <c r="I92" s="33">
        <v>420000</v>
      </c>
      <c r="J92" s="32">
        <v>0</v>
      </c>
      <c r="K92" s="33">
        <f t="shared" si="35"/>
        <v>0</v>
      </c>
      <c r="N92" s="32" t="s">
        <v>239</v>
      </c>
      <c r="O92" s="33">
        <v>420000</v>
      </c>
      <c r="P92" s="33">
        <v>0</v>
      </c>
      <c r="Q92" s="33">
        <f t="shared" si="36"/>
        <v>0</v>
      </c>
      <c r="R92" s="33">
        <v>420000</v>
      </c>
      <c r="S92" s="32">
        <v>0</v>
      </c>
      <c r="T92" s="33">
        <f t="shared" si="37"/>
        <v>0</v>
      </c>
      <c r="U92" s="33">
        <v>420000</v>
      </c>
      <c r="V92" s="32">
        <v>0</v>
      </c>
      <c r="W92" s="33">
        <f t="shared" si="38"/>
        <v>0</v>
      </c>
    </row>
    <row r="93" spans="2:23">
      <c r="B93" s="32" t="s">
        <v>240</v>
      </c>
      <c r="C93" s="33">
        <v>450000</v>
      </c>
      <c r="D93" s="33">
        <v>0</v>
      </c>
      <c r="E93" s="33">
        <f t="shared" si="33"/>
        <v>0</v>
      </c>
      <c r="F93" s="33">
        <v>450000</v>
      </c>
      <c r="G93" s="32">
        <v>0</v>
      </c>
      <c r="H93" s="33">
        <f t="shared" si="34"/>
        <v>0</v>
      </c>
      <c r="I93" s="33">
        <v>450000</v>
      </c>
      <c r="J93" s="32">
        <v>0</v>
      </c>
      <c r="K93" s="33">
        <f t="shared" si="35"/>
        <v>0</v>
      </c>
      <c r="N93" s="32" t="s">
        <v>240</v>
      </c>
      <c r="O93" s="33">
        <v>450000</v>
      </c>
      <c r="P93" s="33">
        <v>0</v>
      </c>
      <c r="Q93" s="33">
        <f t="shared" si="36"/>
        <v>0</v>
      </c>
      <c r="R93" s="33">
        <v>450000</v>
      </c>
      <c r="S93" s="32">
        <v>0</v>
      </c>
      <c r="T93" s="33">
        <f t="shared" si="37"/>
        <v>0</v>
      </c>
      <c r="U93" s="33">
        <v>450000</v>
      </c>
      <c r="V93" s="32">
        <v>0</v>
      </c>
      <c r="W93" s="33">
        <f t="shared" si="38"/>
        <v>0</v>
      </c>
    </row>
    <row r="94" spans="2:23">
      <c r="B94" s="32" t="s">
        <v>241</v>
      </c>
      <c r="C94" s="33">
        <v>230000</v>
      </c>
      <c r="D94" s="32">
        <v>0</v>
      </c>
      <c r="E94" s="33">
        <f t="shared" si="33"/>
        <v>0</v>
      </c>
      <c r="F94" s="33">
        <v>230000</v>
      </c>
      <c r="G94" s="32">
        <v>0</v>
      </c>
      <c r="H94" s="33">
        <f t="shared" si="34"/>
        <v>0</v>
      </c>
      <c r="I94" s="33">
        <v>230000</v>
      </c>
      <c r="J94" s="32">
        <v>0</v>
      </c>
      <c r="K94" s="33">
        <f t="shared" si="35"/>
        <v>0</v>
      </c>
      <c r="N94" s="32" t="s">
        <v>241</v>
      </c>
      <c r="O94" s="33">
        <v>230000</v>
      </c>
      <c r="P94" s="32">
        <v>0</v>
      </c>
      <c r="Q94" s="33">
        <f t="shared" si="36"/>
        <v>0</v>
      </c>
      <c r="R94" s="33">
        <v>230000</v>
      </c>
      <c r="S94" s="32">
        <v>0</v>
      </c>
      <c r="T94" s="33">
        <f t="shared" si="37"/>
        <v>0</v>
      </c>
      <c r="U94" s="33">
        <v>230000</v>
      </c>
      <c r="V94" s="32">
        <v>0</v>
      </c>
      <c r="W94" s="33">
        <f t="shared" si="38"/>
        <v>0</v>
      </c>
    </row>
    <row r="95" spans="2:23" s="2" customFormat="1">
      <c r="B95" s="35"/>
      <c r="C95" s="35"/>
      <c r="D95" s="31" t="s">
        <v>48</v>
      </c>
      <c r="E95" s="36">
        <f>SUM(E86:E94)</f>
        <v>858609004.46428561</v>
      </c>
      <c r="F95" s="35"/>
      <c r="G95" s="31" t="s">
        <v>48</v>
      </c>
      <c r="H95" s="36">
        <f>SUM(H86:H94)</f>
        <v>983262160</v>
      </c>
      <c r="I95" s="35"/>
      <c r="J95" s="31" t="s">
        <v>48</v>
      </c>
      <c r="K95" s="36">
        <f>SUM(K86:K94)</f>
        <v>304063486.66666663</v>
      </c>
      <c r="N95" s="35"/>
      <c r="O95" s="35"/>
      <c r="P95" s="31" t="s">
        <v>48</v>
      </c>
      <c r="Q95" s="36">
        <f>SUM(Q86:Q94)</f>
        <v>857689004.46428561</v>
      </c>
      <c r="R95" s="35"/>
      <c r="S95" s="31" t="s">
        <v>48</v>
      </c>
      <c r="T95" s="51">
        <f>SUM(T86:T94)</f>
        <v>981882160</v>
      </c>
      <c r="U95" s="35"/>
      <c r="V95" s="31" t="s">
        <v>48</v>
      </c>
      <c r="W95" s="36">
        <f>SUM(W86:W94)</f>
        <v>303603486.66666663</v>
      </c>
    </row>
    <row r="96" spans="2:23">
      <c r="K96" s="49"/>
      <c r="O96" s="56">
        <f>O86+O87</f>
        <v>45794000</v>
      </c>
      <c r="R96" s="56">
        <f>R86+R87</f>
        <v>48668000</v>
      </c>
      <c r="U96" s="56">
        <f>U86+U87</f>
        <v>48668000</v>
      </c>
      <c r="W96" s="49"/>
    </row>
    <row r="97" spans="2:28">
      <c r="K97" s="49"/>
      <c r="W97" s="49"/>
    </row>
    <row r="98" spans="2:28">
      <c r="C98" s="29" t="s">
        <v>312</v>
      </c>
      <c r="F98" s="29" t="s">
        <v>309</v>
      </c>
      <c r="I98" s="29" t="s">
        <v>313</v>
      </c>
    </row>
    <row r="99" spans="2:28" ht="15" customHeight="1">
      <c r="B99" s="340" t="s">
        <v>337</v>
      </c>
      <c r="C99" s="330" t="s">
        <v>10</v>
      </c>
      <c r="D99" s="331"/>
      <c r="E99" s="332"/>
      <c r="F99" s="330" t="s">
        <v>15</v>
      </c>
      <c r="G99" s="331"/>
      <c r="H99" s="332"/>
      <c r="I99" s="330" t="s">
        <v>17</v>
      </c>
      <c r="J99" s="331"/>
      <c r="K99" s="332"/>
      <c r="N99" s="340" t="s">
        <v>337</v>
      </c>
      <c r="O99" s="330" t="s">
        <v>10</v>
      </c>
      <c r="P99" s="331"/>
      <c r="Q99" s="332"/>
      <c r="R99" s="330" t="s">
        <v>15</v>
      </c>
      <c r="S99" s="331"/>
      <c r="T99" s="332"/>
      <c r="U99" s="330" t="s">
        <v>17</v>
      </c>
      <c r="V99" s="331"/>
      <c r="W99" s="332"/>
    </row>
    <row r="100" spans="2:28" ht="15" customHeight="1">
      <c r="B100" s="341"/>
      <c r="C100" s="30" t="s">
        <v>180</v>
      </c>
      <c r="D100" s="31" t="s">
        <v>41</v>
      </c>
      <c r="E100" s="31" t="s">
        <v>44</v>
      </c>
      <c r="F100" s="30" t="s">
        <v>180</v>
      </c>
      <c r="G100" s="31" t="s">
        <v>41</v>
      </c>
      <c r="H100" s="31" t="s">
        <v>44</v>
      </c>
      <c r="I100" s="30" t="s">
        <v>180</v>
      </c>
      <c r="J100" s="31" t="s">
        <v>41</v>
      </c>
      <c r="K100" s="31" t="s">
        <v>44</v>
      </c>
      <c r="N100" s="341"/>
      <c r="O100" s="30" t="s">
        <v>180</v>
      </c>
      <c r="P100" s="31" t="s">
        <v>41</v>
      </c>
      <c r="Q100" s="31" t="s">
        <v>44</v>
      </c>
      <c r="R100" s="30" t="s">
        <v>180</v>
      </c>
      <c r="S100" s="31" t="s">
        <v>41</v>
      </c>
      <c r="T100" s="31" t="s">
        <v>44</v>
      </c>
      <c r="U100" s="30" t="s">
        <v>180</v>
      </c>
      <c r="V100" s="31" t="s">
        <v>41</v>
      </c>
      <c r="W100" s="31" t="s">
        <v>44</v>
      </c>
    </row>
    <row r="101" spans="2:28" ht="15" customHeight="1">
      <c r="B101" s="32" t="s">
        <v>233</v>
      </c>
      <c r="C101" s="33">
        <v>40285000</v>
      </c>
      <c r="D101" s="32">
        <v>2</v>
      </c>
      <c r="E101" s="33">
        <f t="shared" ref="E101:E109" si="39">+C101*D101</f>
        <v>80570000</v>
      </c>
      <c r="F101" s="33">
        <v>40665000</v>
      </c>
      <c r="G101" s="32">
        <v>1</v>
      </c>
      <c r="H101" s="33">
        <f t="shared" ref="H101:H109" si="40">+F101*G101</f>
        <v>40665000</v>
      </c>
      <c r="I101" s="33">
        <v>40665000</v>
      </c>
      <c r="J101" s="32">
        <v>1</v>
      </c>
      <c r="K101" s="33">
        <f t="shared" ref="K101:K109" si="41">+I101*J101</f>
        <v>40665000</v>
      </c>
      <c r="N101" s="32" t="s">
        <v>233</v>
      </c>
      <c r="O101" s="33">
        <v>40285000</v>
      </c>
      <c r="P101" s="32">
        <v>2</v>
      </c>
      <c r="Q101" s="33">
        <f t="shared" ref="Q101:Q109" si="42">+O101*P101</f>
        <v>80570000</v>
      </c>
      <c r="R101" s="33">
        <v>40665000</v>
      </c>
      <c r="S101" s="32">
        <v>1</v>
      </c>
      <c r="T101" s="33">
        <f t="shared" ref="T101:T109" si="43">+R101*S101</f>
        <v>40665000</v>
      </c>
      <c r="U101" s="33">
        <v>40665000</v>
      </c>
      <c r="V101" s="32">
        <v>1</v>
      </c>
      <c r="W101" s="33">
        <f t="shared" ref="W101:W109" si="44">+U101*V101</f>
        <v>40665000</v>
      </c>
    </row>
    <row r="102" spans="2:28" ht="15" customHeight="1">
      <c r="B102" s="32" t="s">
        <v>234</v>
      </c>
      <c r="C102" s="33">
        <v>5216000</v>
      </c>
      <c r="D102" s="32">
        <v>2</v>
      </c>
      <c r="E102" s="33">
        <f t="shared" si="39"/>
        <v>10432000</v>
      </c>
      <c r="F102" s="33">
        <v>10206000</v>
      </c>
      <c r="G102" s="32">
        <v>1</v>
      </c>
      <c r="H102" s="33">
        <f t="shared" si="40"/>
        <v>10206000</v>
      </c>
      <c r="I102" s="33">
        <v>7031000</v>
      </c>
      <c r="J102" s="32">
        <v>1</v>
      </c>
      <c r="K102" s="33">
        <f t="shared" si="41"/>
        <v>7031000</v>
      </c>
      <c r="N102" s="32" t="s">
        <v>234</v>
      </c>
      <c r="O102" s="33">
        <v>5216000</v>
      </c>
      <c r="P102" s="32">
        <v>2</v>
      </c>
      <c r="Q102" s="33">
        <f t="shared" si="42"/>
        <v>10432000</v>
      </c>
      <c r="R102" s="33">
        <v>10206000</v>
      </c>
      <c r="S102" s="32">
        <v>1</v>
      </c>
      <c r="T102" s="33">
        <f t="shared" si="43"/>
        <v>10206000</v>
      </c>
      <c r="U102" s="33">
        <v>7031000</v>
      </c>
      <c r="V102" s="32">
        <v>1</v>
      </c>
      <c r="W102" s="33">
        <f t="shared" si="44"/>
        <v>7031000</v>
      </c>
    </row>
    <row r="103" spans="2:28" ht="15" customHeight="1">
      <c r="B103" s="32" t="s">
        <v>235</v>
      </c>
      <c r="C103" s="33">
        <v>6600</v>
      </c>
      <c r="D103" s="32">
        <v>0</v>
      </c>
      <c r="E103" s="33">
        <f t="shared" si="39"/>
        <v>0</v>
      </c>
      <c r="F103" s="33">
        <v>6600</v>
      </c>
      <c r="G103" s="32">
        <v>0</v>
      </c>
      <c r="H103" s="33">
        <f t="shared" si="40"/>
        <v>0</v>
      </c>
      <c r="I103" s="33">
        <v>6600</v>
      </c>
      <c r="J103" s="32">
        <v>0</v>
      </c>
      <c r="K103" s="33">
        <f t="shared" si="41"/>
        <v>0</v>
      </c>
      <c r="N103" s="32" t="s">
        <v>235</v>
      </c>
      <c r="O103" s="33">
        <v>4300</v>
      </c>
      <c r="P103" s="32">
        <v>0</v>
      </c>
      <c r="Q103" s="33">
        <f t="shared" si="42"/>
        <v>0</v>
      </c>
      <c r="R103" s="33">
        <v>4300</v>
      </c>
      <c r="S103" s="32">
        <v>0</v>
      </c>
      <c r="T103" s="33">
        <f t="shared" si="43"/>
        <v>0</v>
      </c>
      <c r="U103" s="33">
        <v>4300</v>
      </c>
      <c r="V103" s="32">
        <v>0</v>
      </c>
      <c r="W103" s="33">
        <f t="shared" si="44"/>
        <v>0</v>
      </c>
    </row>
    <row r="104" spans="2:28" ht="15" customHeight="1">
      <c r="B104" s="32" t="s">
        <v>236</v>
      </c>
      <c r="C104" s="33">
        <v>80300</v>
      </c>
      <c r="D104" s="32">
        <v>8</v>
      </c>
      <c r="E104" s="33">
        <f t="shared" si="39"/>
        <v>642400</v>
      </c>
      <c r="F104" s="33">
        <v>80300</v>
      </c>
      <c r="G104" s="32">
        <v>62</v>
      </c>
      <c r="H104" s="33">
        <f t="shared" si="40"/>
        <v>4978600</v>
      </c>
      <c r="I104" s="33">
        <v>80300</v>
      </c>
      <c r="J104" s="64">
        <v>50</v>
      </c>
      <c r="K104" s="33">
        <f t="shared" si="41"/>
        <v>4015000</v>
      </c>
      <c r="N104" s="32" t="s">
        <v>236</v>
      </c>
      <c r="O104" s="33">
        <v>80300</v>
      </c>
      <c r="P104" s="32">
        <v>8</v>
      </c>
      <c r="Q104" s="33">
        <f t="shared" si="42"/>
        <v>642400</v>
      </c>
      <c r="R104" s="33">
        <v>80300</v>
      </c>
      <c r="S104" s="32">
        <v>62</v>
      </c>
      <c r="T104" s="33">
        <f t="shared" si="43"/>
        <v>4978600</v>
      </c>
      <c r="U104" s="33">
        <v>80300</v>
      </c>
      <c r="V104" s="64">
        <v>50</v>
      </c>
      <c r="W104" s="33">
        <f t="shared" si="44"/>
        <v>4015000</v>
      </c>
    </row>
    <row r="105" spans="2:28" ht="15" customHeight="1">
      <c r="B105" s="32" t="s">
        <v>237</v>
      </c>
      <c r="C105" s="33">
        <v>1100000</v>
      </c>
      <c r="D105" s="32">
        <v>6</v>
      </c>
      <c r="E105" s="33">
        <f t="shared" si="39"/>
        <v>6600000</v>
      </c>
      <c r="F105" s="33">
        <v>1100000</v>
      </c>
      <c r="G105" s="32">
        <v>4</v>
      </c>
      <c r="H105" s="33">
        <f t="shared" si="40"/>
        <v>4400000</v>
      </c>
      <c r="I105" s="33">
        <v>1100000</v>
      </c>
      <c r="J105" s="32">
        <v>5</v>
      </c>
      <c r="K105" s="33">
        <f t="shared" si="41"/>
        <v>5500000</v>
      </c>
      <c r="N105" s="32" t="s">
        <v>237</v>
      </c>
      <c r="O105" s="33">
        <v>870000</v>
      </c>
      <c r="P105" s="32">
        <v>6</v>
      </c>
      <c r="Q105" s="33">
        <f t="shared" si="42"/>
        <v>5220000</v>
      </c>
      <c r="R105" s="33">
        <v>870000</v>
      </c>
      <c r="S105" s="32">
        <v>4</v>
      </c>
      <c r="T105" s="33">
        <f t="shared" si="43"/>
        <v>3480000</v>
      </c>
      <c r="U105" s="33">
        <v>870000</v>
      </c>
      <c r="V105" s="32">
        <v>5</v>
      </c>
      <c r="W105" s="33">
        <f t="shared" si="44"/>
        <v>4350000</v>
      </c>
    </row>
    <row r="106" spans="2:28">
      <c r="B106" s="32" t="s">
        <v>238</v>
      </c>
      <c r="C106" s="33">
        <v>550000</v>
      </c>
      <c r="D106" s="32">
        <v>0</v>
      </c>
      <c r="E106" s="33">
        <f t="shared" si="39"/>
        <v>0</v>
      </c>
      <c r="F106" s="33">
        <v>550000</v>
      </c>
      <c r="G106" s="32">
        <v>0</v>
      </c>
      <c r="H106" s="33">
        <f t="shared" si="40"/>
        <v>0</v>
      </c>
      <c r="I106" s="33">
        <v>550000</v>
      </c>
      <c r="J106" s="32">
        <v>0</v>
      </c>
      <c r="K106" s="33">
        <f t="shared" si="41"/>
        <v>0</v>
      </c>
      <c r="N106" s="32" t="s">
        <v>238</v>
      </c>
      <c r="O106" s="33">
        <v>435000</v>
      </c>
      <c r="P106" s="32">
        <v>0</v>
      </c>
      <c r="Q106" s="33">
        <f t="shared" si="42"/>
        <v>0</v>
      </c>
      <c r="R106" s="33">
        <v>435000</v>
      </c>
      <c r="S106" s="32">
        <v>0</v>
      </c>
      <c r="T106" s="33">
        <f t="shared" si="43"/>
        <v>0</v>
      </c>
      <c r="U106" s="33">
        <v>435000</v>
      </c>
      <c r="V106" s="32">
        <v>0</v>
      </c>
      <c r="W106" s="33">
        <f t="shared" si="44"/>
        <v>0</v>
      </c>
    </row>
    <row r="107" spans="2:28">
      <c r="B107" s="32" t="s">
        <v>239</v>
      </c>
      <c r="C107" s="33">
        <v>420000</v>
      </c>
      <c r="D107" s="32">
        <v>0</v>
      </c>
      <c r="E107" s="33">
        <f t="shared" si="39"/>
        <v>0</v>
      </c>
      <c r="F107" s="33">
        <v>420000</v>
      </c>
      <c r="G107" s="32">
        <v>0</v>
      </c>
      <c r="H107" s="33">
        <f t="shared" si="40"/>
        <v>0</v>
      </c>
      <c r="I107" s="33">
        <v>420000</v>
      </c>
      <c r="J107" s="32">
        <v>0</v>
      </c>
      <c r="K107" s="33">
        <f t="shared" si="41"/>
        <v>0</v>
      </c>
      <c r="N107" s="32" t="s">
        <v>239</v>
      </c>
      <c r="O107" s="33">
        <v>420000</v>
      </c>
      <c r="P107" s="32">
        <v>0</v>
      </c>
      <c r="Q107" s="33">
        <f t="shared" si="42"/>
        <v>0</v>
      </c>
      <c r="R107" s="33">
        <v>420000</v>
      </c>
      <c r="S107" s="32">
        <v>0</v>
      </c>
      <c r="T107" s="33">
        <f t="shared" si="43"/>
        <v>0</v>
      </c>
      <c r="U107" s="33">
        <v>420000</v>
      </c>
      <c r="V107" s="32">
        <v>0</v>
      </c>
      <c r="W107" s="33">
        <f t="shared" si="44"/>
        <v>0</v>
      </c>
    </row>
    <row r="108" spans="2:28">
      <c r="B108" s="32" t="s">
        <v>240</v>
      </c>
      <c r="C108" s="33">
        <v>450000</v>
      </c>
      <c r="D108" s="32">
        <v>0</v>
      </c>
      <c r="E108" s="33">
        <f t="shared" si="39"/>
        <v>0</v>
      </c>
      <c r="F108" s="33">
        <v>450000</v>
      </c>
      <c r="G108" s="32">
        <v>0</v>
      </c>
      <c r="H108" s="33">
        <f t="shared" si="40"/>
        <v>0</v>
      </c>
      <c r="I108" s="33">
        <v>450000</v>
      </c>
      <c r="J108" s="32">
        <v>0</v>
      </c>
      <c r="K108" s="33">
        <f t="shared" si="41"/>
        <v>0</v>
      </c>
      <c r="N108" s="32" t="s">
        <v>240</v>
      </c>
      <c r="O108" s="33">
        <v>450000</v>
      </c>
      <c r="P108" s="32">
        <v>0</v>
      </c>
      <c r="Q108" s="33">
        <f t="shared" si="42"/>
        <v>0</v>
      </c>
      <c r="R108" s="33">
        <v>450000</v>
      </c>
      <c r="S108" s="32">
        <v>0</v>
      </c>
      <c r="T108" s="33">
        <f t="shared" si="43"/>
        <v>0</v>
      </c>
      <c r="U108" s="33">
        <v>450000</v>
      </c>
      <c r="V108" s="32">
        <v>0</v>
      </c>
      <c r="W108" s="33">
        <f t="shared" si="44"/>
        <v>0</v>
      </c>
    </row>
    <row r="109" spans="2:28">
      <c r="B109" s="32" t="s">
        <v>241</v>
      </c>
      <c r="C109" s="33">
        <v>280000</v>
      </c>
      <c r="D109" s="32">
        <v>0</v>
      </c>
      <c r="E109" s="33">
        <f t="shared" si="39"/>
        <v>0</v>
      </c>
      <c r="F109" s="33">
        <v>280000</v>
      </c>
      <c r="G109" s="32">
        <v>0</v>
      </c>
      <c r="H109" s="33">
        <f t="shared" si="40"/>
        <v>0</v>
      </c>
      <c r="I109" s="33">
        <v>280000</v>
      </c>
      <c r="J109" s="32">
        <v>0</v>
      </c>
      <c r="K109" s="33">
        <f t="shared" si="41"/>
        <v>0</v>
      </c>
      <c r="N109" s="32" t="s">
        <v>241</v>
      </c>
      <c r="O109" s="33">
        <v>280000</v>
      </c>
      <c r="P109" s="32">
        <v>0</v>
      </c>
      <c r="Q109" s="33">
        <f t="shared" si="42"/>
        <v>0</v>
      </c>
      <c r="R109" s="33">
        <v>280000</v>
      </c>
      <c r="S109" s="32">
        <v>0</v>
      </c>
      <c r="T109" s="33">
        <f t="shared" si="43"/>
        <v>0</v>
      </c>
      <c r="U109" s="33">
        <v>280000</v>
      </c>
      <c r="V109" s="32">
        <v>0</v>
      </c>
      <c r="W109" s="33">
        <f t="shared" si="44"/>
        <v>0</v>
      </c>
    </row>
    <row r="110" spans="2:28" s="2" customFormat="1">
      <c r="B110" s="35"/>
      <c r="C110" s="35"/>
      <c r="D110" s="31" t="s">
        <v>48</v>
      </c>
      <c r="E110" s="36">
        <f>SUM(E101:E109)</f>
        <v>98244400</v>
      </c>
      <c r="F110" s="35"/>
      <c r="G110" s="31" t="s">
        <v>48</v>
      </c>
      <c r="H110" s="36">
        <f>SUM(H101:H109)</f>
        <v>60249600</v>
      </c>
      <c r="I110" s="35"/>
      <c r="J110" s="31" t="s">
        <v>48</v>
      </c>
      <c r="K110" s="36">
        <f>SUM(K101:K109)</f>
        <v>57211000</v>
      </c>
      <c r="N110" s="35"/>
      <c r="O110" s="35"/>
      <c r="P110" s="31" t="s">
        <v>48</v>
      </c>
      <c r="Q110" s="36">
        <f>SUM(Q101:Q109)</f>
        <v>96864400</v>
      </c>
      <c r="R110" s="35"/>
      <c r="S110" s="31" t="s">
        <v>48</v>
      </c>
      <c r="T110" s="51">
        <f>SUM(T101:T109)</f>
        <v>59329600</v>
      </c>
      <c r="U110" s="35"/>
      <c r="V110" s="31" t="s">
        <v>48</v>
      </c>
      <c r="W110" s="36">
        <f>SUM(W101:W109)</f>
        <v>56061000</v>
      </c>
      <c r="Z110" s="2" t="s">
        <v>97</v>
      </c>
      <c r="AA110" s="48">
        <v>50247652.151722401</v>
      </c>
      <c r="AB110" s="68">
        <f>+AA111/AA110*5</f>
        <v>4.9868523548945589</v>
      </c>
    </row>
    <row r="111" spans="2:28">
      <c r="J111" s="49" t="s">
        <v>20</v>
      </c>
      <c r="K111" s="50">
        <f>SUM(E95,H95,K95,E110,H110,K110)/SUM(D86,G86,J86,D101,G101,J101)</f>
        <v>50247652.151722394</v>
      </c>
      <c r="V111" s="49" t="s">
        <v>20</v>
      </c>
      <c r="W111" s="49">
        <f>SUM(Q95,T95,W95,Q110,T110,W110)/SUM(P86,S86,V86,P101,S101,V101)</f>
        <v>50115524.492147923</v>
      </c>
      <c r="Z111" s="2" t="s">
        <v>98</v>
      </c>
      <c r="AA111" s="28">
        <v>50115524.4921479</v>
      </c>
      <c r="AB111" s="29">
        <v>5</v>
      </c>
    </row>
    <row r="112" spans="2:28">
      <c r="K112" s="49"/>
      <c r="W112" s="49"/>
    </row>
    <row r="113" spans="2:23">
      <c r="K113" s="49"/>
      <c r="W113" s="49"/>
    </row>
    <row r="114" spans="2:23">
      <c r="B114" s="340" t="s">
        <v>338</v>
      </c>
      <c r="C114" s="330" t="s">
        <v>10</v>
      </c>
      <c r="D114" s="331"/>
      <c r="E114" s="332"/>
      <c r="F114" s="330" t="s">
        <v>15</v>
      </c>
      <c r="G114" s="331"/>
      <c r="H114" s="332"/>
      <c r="I114" s="330" t="s">
        <v>17</v>
      </c>
      <c r="J114" s="331"/>
      <c r="K114" s="332"/>
      <c r="N114" s="340" t="s">
        <v>338</v>
      </c>
      <c r="O114" s="330" t="s">
        <v>10</v>
      </c>
      <c r="P114" s="331"/>
      <c r="Q114" s="332"/>
      <c r="R114" s="330" t="s">
        <v>15</v>
      </c>
      <c r="S114" s="331"/>
      <c r="T114" s="332"/>
      <c r="U114" s="330" t="s">
        <v>17</v>
      </c>
      <c r="V114" s="331"/>
      <c r="W114" s="332"/>
    </row>
    <row r="115" spans="2:23">
      <c r="B115" s="341"/>
      <c r="C115" s="30" t="s">
        <v>180</v>
      </c>
      <c r="D115" s="31" t="s">
        <v>41</v>
      </c>
      <c r="E115" s="31" t="s">
        <v>44</v>
      </c>
      <c r="F115" s="30" t="s">
        <v>180</v>
      </c>
      <c r="G115" s="31" t="s">
        <v>41</v>
      </c>
      <c r="H115" s="31" t="s">
        <v>44</v>
      </c>
      <c r="I115" s="30" t="s">
        <v>180</v>
      </c>
      <c r="J115" s="31" t="s">
        <v>41</v>
      </c>
      <c r="K115" s="31" t="s">
        <v>44</v>
      </c>
      <c r="N115" s="341"/>
      <c r="O115" s="30" t="s">
        <v>180</v>
      </c>
      <c r="P115" s="31" t="s">
        <v>41</v>
      </c>
      <c r="Q115" s="31" t="s">
        <v>44</v>
      </c>
      <c r="R115" s="30" t="s">
        <v>180</v>
      </c>
      <c r="S115" s="31" t="s">
        <v>41</v>
      </c>
      <c r="T115" s="31" t="s">
        <v>44</v>
      </c>
      <c r="U115" s="30" t="s">
        <v>180</v>
      </c>
      <c r="V115" s="31" t="s">
        <v>41</v>
      </c>
      <c r="W115" s="31" t="s">
        <v>44</v>
      </c>
    </row>
    <row r="116" spans="2:23">
      <c r="B116" s="32" t="s">
        <v>233</v>
      </c>
      <c r="C116" s="33">
        <v>35399000</v>
      </c>
      <c r="D116" s="32">
        <v>18</v>
      </c>
      <c r="E116" s="33">
        <f t="shared" ref="E116:E124" si="45">+C116*D116</f>
        <v>637182000</v>
      </c>
      <c r="F116" s="33">
        <v>35779000</v>
      </c>
      <c r="G116" s="32">
        <v>19</v>
      </c>
      <c r="H116" s="33">
        <f t="shared" ref="H116:H124" si="46">+F116*G116</f>
        <v>679801000</v>
      </c>
      <c r="I116" s="33">
        <v>35779000</v>
      </c>
      <c r="J116" s="32">
        <v>6</v>
      </c>
      <c r="K116" s="33">
        <f t="shared" ref="K116:K124" si="47">+I116*J116</f>
        <v>214674000</v>
      </c>
      <c r="N116" s="32" t="s">
        <v>233</v>
      </c>
      <c r="O116" s="33">
        <v>35399000</v>
      </c>
      <c r="P116" s="32">
        <v>18</v>
      </c>
      <c r="Q116" s="33">
        <f t="shared" ref="Q116:Q124" si="48">+O116*P116</f>
        <v>637182000</v>
      </c>
      <c r="R116" s="33">
        <v>35779000</v>
      </c>
      <c r="S116" s="32">
        <v>19</v>
      </c>
      <c r="T116" s="33">
        <f t="shared" ref="T116:T124" si="49">+R116*S116</f>
        <v>679801000</v>
      </c>
      <c r="U116" s="33">
        <v>35779000</v>
      </c>
      <c r="V116" s="32">
        <v>6</v>
      </c>
      <c r="W116" s="33">
        <f t="shared" ref="W116:W124" si="50">+U116*V116</f>
        <v>214674000</v>
      </c>
    </row>
    <row r="117" spans="2:23">
      <c r="B117" s="32" t="s">
        <v>234</v>
      </c>
      <c r="C117" s="33">
        <v>7258000</v>
      </c>
      <c r="D117" s="32">
        <v>18</v>
      </c>
      <c r="E117" s="33">
        <f t="shared" si="45"/>
        <v>130644000</v>
      </c>
      <c r="F117" s="33">
        <v>9752000</v>
      </c>
      <c r="G117" s="32">
        <v>19</v>
      </c>
      <c r="H117" s="33">
        <f t="shared" si="46"/>
        <v>185288000</v>
      </c>
      <c r="I117" s="33">
        <v>9752000</v>
      </c>
      <c r="J117" s="32">
        <v>6</v>
      </c>
      <c r="K117" s="33">
        <f t="shared" si="47"/>
        <v>58512000</v>
      </c>
      <c r="N117" s="32" t="s">
        <v>234</v>
      </c>
      <c r="O117" s="33">
        <v>7258000</v>
      </c>
      <c r="P117" s="32">
        <v>18</v>
      </c>
      <c r="Q117" s="33">
        <f t="shared" si="48"/>
        <v>130644000</v>
      </c>
      <c r="R117" s="33">
        <v>9752000</v>
      </c>
      <c r="S117" s="32">
        <v>19</v>
      </c>
      <c r="T117" s="33">
        <f t="shared" si="49"/>
        <v>185288000</v>
      </c>
      <c r="U117" s="33">
        <v>9752000</v>
      </c>
      <c r="V117" s="32">
        <v>6</v>
      </c>
      <c r="W117" s="33">
        <f t="shared" si="50"/>
        <v>58512000</v>
      </c>
    </row>
    <row r="118" spans="2:23">
      <c r="B118" s="32" t="s">
        <v>235</v>
      </c>
      <c r="C118" s="33">
        <v>6600</v>
      </c>
      <c r="D118" s="33">
        <v>0</v>
      </c>
      <c r="E118" s="33">
        <f t="shared" si="45"/>
        <v>0</v>
      </c>
      <c r="F118" s="33">
        <v>6600</v>
      </c>
      <c r="G118" s="32">
        <v>0</v>
      </c>
      <c r="H118" s="33">
        <f t="shared" si="46"/>
        <v>0</v>
      </c>
      <c r="I118" s="33">
        <v>6600</v>
      </c>
      <c r="J118" s="32">
        <v>0</v>
      </c>
      <c r="K118" s="33">
        <f t="shared" si="47"/>
        <v>0</v>
      </c>
      <c r="N118" s="32" t="s">
        <v>235</v>
      </c>
      <c r="O118" s="33">
        <v>4300</v>
      </c>
      <c r="P118" s="33">
        <v>0</v>
      </c>
      <c r="Q118" s="33">
        <f t="shared" si="48"/>
        <v>0</v>
      </c>
      <c r="R118" s="33">
        <v>4300</v>
      </c>
      <c r="S118" s="32">
        <v>0</v>
      </c>
      <c r="T118" s="33">
        <f t="shared" si="49"/>
        <v>0</v>
      </c>
      <c r="U118" s="33">
        <v>4300</v>
      </c>
      <c r="V118" s="32">
        <v>0</v>
      </c>
      <c r="W118" s="33">
        <f t="shared" si="50"/>
        <v>0</v>
      </c>
    </row>
    <row r="119" spans="2:23">
      <c r="B119" s="32" t="s">
        <v>236</v>
      </c>
      <c r="C119" s="33">
        <v>80300</v>
      </c>
      <c r="D119" s="33">
        <v>372.56543542074297</v>
      </c>
      <c r="E119" s="33">
        <f t="shared" si="45"/>
        <v>29917004.464285661</v>
      </c>
      <c r="F119" s="33">
        <v>80300</v>
      </c>
      <c r="G119" s="64">
        <v>647.20000000000005</v>
      </c>
      <c r="H119" s="33">
        <f t="shared" si="46"/>
        <v>51970160</v>
      </c>
      <c r="I119" s="33">
        <v>80300</v>
      </c>
      <c r="J119" s="64">
        <v>122.73333333333299</v>
      </c>
      <c r="K119" s="33">
        <f t="shared" si="47"/>
        <v>9855486.66666664</v>
      </c>
      <c r="N119" s="32" t="s">
        <v>236</v>
      </c>
      <c r="O119" s="33">
        <v>80300</v>
      </c>
      <c r="P119" s="33">
        <v>372.56543542074297</v>
      </c>
      <c r="Q119" s="33">
        <f t="shared" si="48"/>
        <v>29917004.464285661</v>
      </c>
      <c r="R119" s="33">
        <v>80300</v>
      </c>
      <c r="S119" s="64">
        <v>647.20000000000005</v>
      </c>
      <c r="T119" s="33">
        <f t="shared" si="49"/>
        <v>51970160</v>
      </c>
      <c r="U119" s="33">
        <v>80300</v>
      </c>
      <c r="V119" s="64">
        <v>122.73333333333299</v>
      </c>
      <c r="W119" s="33">
        <f t="shared" si="50"/>
        <v>9855486.66666664</v>
      </c>
    </row>
    <row r="120" spans="2:23">
      <c r="B120" s="32" t="s">
        <v>237</v>
      </c>
      <c r="C120" s="33">
        <v>1100000</v>
      </c>
      <c r="D120" s="33">
        <v>4</v>
      </c>
      <c r="E120" s="33">
        <f t="shared" si="45"/>
        <v>4400000</v>
      </c>
      <c r="F120" s="33">
        <v>1100000</v>
      </c>
      <c r="G120" s="32">
        <v>6</v>
      </c>
      <c r="H120" s="33">
        <f t="shared" si="46"/>
        <v>6600000</v>
      </c>
      <c r="I120" s="33">
        <v>1100000</v>
      </c>
      <c r="J120" s="32">
        <v>2</v>
      </c>
      <c r="K120" s="33">
        <f t="shared" si="47"/>
        <v>2200000</v>
      </c>
      <c r="N120" s="32" t="s">
        <v>237</v>
      </c>
      <c r="O120" s="33">
        <v>870000</v>
      </c>
      <c r="P120" s="33">
        <v>4</v>
      </c>
      <c r="Q120" s="33">
        <f t="shared" si="48"/>
        <v>3480000</v>
      </c>
      <c r="R120" s="33">
        <v>870000</v>
      </c>
      <c r="S120" s="32">
        <v>6</v>
      </c>
      <c r="T120" s="33">
        <f t="shared" si="49"/>
        <v>5220000</v>
      </c>
      <c r="U120" s="33">
        <v>870000</v>
      </c>
      <c r="V120" s="32">
        <v>2</v>
      </c>
      <c r="W120" s="33">
        <f t="shared" si="50"/>
        <v>1740000</v>
      </c>
    </row>
    <row r="121" spans="2:23">
      <c r="B121" s="32" t="s">
        <v>238</v>
      </c>
      <c r="C121" s="33">
        <v>550000</v>
      </c>
      <c r="D121" s="33">
        <v>0</v>
      </c>
      <c r="E121" s="33">
        <f t="shared" si="45"/>
        <v>0</v>
      </c>
      <c r="F121" s="33">
        <v>550000</v>
      </c>
      <c r="G121" s="32">
        <v>0</v>
      </c>
      <c r="H121" s="33">
        <f t="shared" si="46"/>
        <v>0</v>
      </c>
      <c r="I121" s="33">
        <v>550000</v>
      </c>
      <c r="J121" s="32">
        <v>0</v>
      </c>
      <c r="K121" s="33">
        <f t="shared" si="47"/>
        <v>0</v>
      </c>
      <c r="N121" s="32" t="s">
        <v>238</v>
      </c>
      <c r="O121" s="33">
        <v>435000</v>
      </c>
      <c r="P121" s="33">
        <v>0</v>
      </c>
      <c r="Q121" s="33">
        <f t="shared" si="48"/>
        <v>0</v>
      </c>
      <c r="R121" s="33">
        <v>435000</v>
      </c>
      <c r="S121" s="32">
        <v>0</v>
      </c>
      <c r="T121" s="33">
        <f t="shared" si="49"/>
        <v>0</v>
      </c>
      <c r="U121" s="33">
        <v>435000</v>
      </c>
      <c r="V121" s="32">
        <v>0</v>
      </c>
      <c r="W121" s="33">
        <f t="shared" si="50"/>
        <v>0</v>
      </c>
    </row>
    <row r="122" spans="2:23">
      <c r="B122" s="32" t="s">
        <v>239</v>
      </c>
      <c r="C122" s="33">
        <v>420000</v>
      </c>
      <c r="D122" s="33">
        <v>0</v>
      </c>
      <c r="E122" s="33">
        <f t="shared" si="45"/>
        <v>0</v>
      </c>
      <c r="F122" s="33">
        <v>420000</v>
      </c>
      <c r="G122" s="32">
        <v>0</v>
      </c>
      <c r="H122" s="33">
        <f t="shared" si="46"/>
        <v>0</v>
      </c>
      <c r="I122" s="33">
        <v>420000</v>
      </c>
      <c r="J122" s="32">
        <v>0</v>
      </c>
      <c r="K122" s="33">
        <f t="shared" si="47"/>
        <v>0</v>
      </c>
      <c r="N122" s="32" t="s">
        <v>239</v>
      </c>
      <c r="O122" s="33">
        <v>420000</v>
      </c>
      <c r="P122" s="33">
        <v>0</v>
      </c>
      <c r="Q122" s="33">
        <f t="shared" si="48"/>
        <v>0</v>
      </c>
      <c r="R122" s="33">
        <v>420000</v>
      </c>
      <c r="S122" s="32">
        <v>0</v>
      </c>
      <c r="T122" s="33">
        <f t="shared" si="49"/>
        <v>0</v>
      </c>
      <c r="U122" s="33">
        <v>420000</v>
      </c>
      <c r="V122" s="32">
        <v>0</v>
      </c>
      <c r="W122" s="33">
        <f t="shared" si="50"/>
        <v>0</v>
      </c>
    </row>
    <row r="123" spans="2:23">
      <c r="B123" s="32" t="s">
        <v>240</v>
      </c>
      <c r="C123" s="33">
        <v>450000</v>
      </c>
      <c r="D123" s="33">
        <v>0</v>
      </c>
      <c r="E123" s="33">
        <f t="shared" si="45"/>
        <v>0</v>
      </c>
      <c r="F123" s="33">
        <v>450000</v>
      </c>
      <c r="G123" s="32">
        <v>0</v>
      </c>
      <c r="H123" s="33">
        <f t="shared" si="46"/>
        <v>0</v>
      </c>
      <c r="I123" s="33">
        <v>450000</v>
      </c>
      <c r="J123" s="32">
        <v>0</v>
      </c>
      <c r="K123" s="33">
        <f t="shared" si="47"/>
        <v>0</v>
      </c>
      <c r="N123" s="32" t="s">
        <v>240</v>
      </c>
      <c r="O123" s="33">
        <v>450000</v>
      </c>
      <c r="P123" s="33">
        <v>0</v>
      </c>
      <c r="Q123" s="33">
        <f t="shared" si="48"/>
        <v>0</v>
      </c>
      <c r="R123" s="33">
        <v>450000</v>
      </c>
      <c r="S123" s="32">
        <v>0</v>
      </c>
      <c r="T123" s="33">
        <f t="shared" si="49"/>
        <v>0</v>
      </c>
      <c r="U123" s="33">
        <v>450000</v>
      </c>
      <c r="V123" s="32">
        <v>0</v>
      </c>
      <c r="W123" s="33">
        <f t="shared" si="50"/>
        <v>0</v>
      </c>
    </row>
    <row r="124" spans="2:23">
      <c r="B124" s="32" t="s">
        <v>241</v>
      </c>
      <c r="C124" s="33">
        <v>230000</v>
      </c>
      <c r="D124" s="32">
        <v>0</v>
      </c>
      <c r="E124" s="33">
        <f t="shared" si="45"/>
        <v>0</v>
      </c>
      <c r="F124" s="33">
        <v>230000</v>
      </c>
      <c r="G124" s="32">
        <v>0</v>
      </c>
      <c r="H124" s="33">
        <f t="shared" si="46"/>
        <v>0</v>
      </c>
      <c r="I124" s="33">
        <v>230000</v>
      </c>
      <c r="J124" s="32">
        <v>0</v>
      </c>
      <c r="K124" s="33">
        <f t="shared" si="47"/>
        <v>0</v>
      </c>
      <c r="N124" s="32" t="s">
        <v>241</v>
      </c>
      <c r="O124" s="33">
        <v>230000</v>
      </c>
      <c r="P124" s="32">
        <v>0</v>
      </c>
      <c r="Q124" s="33">
        <f t="shared" si="48"/>
        <v>0</v>
      </c>
      <c r="R124" s="33">
        <v>230000</v>
      </c>
      <c r="S124" s="32">
        <v>0</v>
      </c>
      <c r="T124" s="33">
        <f t="shared" si="49"/>
        <v>0</v>
      </c>
      <c r="U124" s="33">
        <v>230000</v>
      </c>
      <c r="V124" s="32">
        <v>0</v>
      </c>
      <c r="W124" s="33">
        <f t="shared" si="50"/>
        <v>0</v>
      </c>
    </row>
    <row r="125" spans="2:23" s="2" customFormat="1">
      <c r="B125" s="35"/>
      <c r="C125" s="35"/>
      <c r="D125" s="31" t="s">
        <v>48</v>
      </c>
      <c r="E125" s="36">
        <f>SUM(E116:E124)</f>
        <v>802143004.46428561</v>
      </c>
      <c r="F125" s="35"/>
      <c r="G125" s="31" t="s">
        <v>48</v>
      </c>
      <c r="H125" s="36">
        <f>SUM(H116:H124)</f>
        <v>923659160</v>
      </c>
      <c r="I125" s="35"/>
      <c r="J125" s="31" t="s">
        <v>48</v>
      </c>
      <c r="K125" s="36">
        <f>SUM(K116:K124)</f>
        <v>285241486.66666663</v>
      </c>
      <c r="N125" s="35"/>
      <c r="O125" s="35"/>
      <c r="P125" s="31" t="s">
        <v>48</v>
      </c>
      <c r="Q125" s="36">
        <f>SUM(Q116:Q124)</f>
        <v>801223004.46428561</v>
      </c>
      <c r="R125" s="35"/>
      <c r="S125" s="31" t="s">
        <v>48</v>
      </c>
      <c r="T125" s="51">
        <f>SUM(T116:T124)</f>
        <v>922279160</v>
      </c>
      <c r="U125" s="35"/>
      <c r="V125" s="31" t="s">
        <v>48</v>
      </c>
      <c r="W125" s="36">
        <f>SUM(W116:W124)</f>
        <v>284781486.66666663</v>
      </c>
    </row>
    <row r="126" spans="2:23" s="2" customFormat="1">
      <c r="D126" s="46"/>
      <c r="E126" s="48"/>
      <c r="G126" s="46"/>
      <c r="H126" s="48"/>
      <c r="J126" s="49"/>
      <c r="K126" s="49"/>
      <c r="O126" s="65">
        <f>O116+O117</f>
        <v>42657000</v>
      </c>
      <c r="P126" s="46"/>
      <c r="Q126" s="48"/>
      <c r="R126" s="65">
        <f>R116+R117</f>
        <v>45531000</v>
      </c>
      <c r="S126" s="46"/>
      <c r="T126" s="67"/>
      <c r="U126" s="65">
        <f>U116+U117</f>
        <v>45531000</v>
      </c>
      <c r="V126" s="46"/>
      <c r="W126" s="49"/>
    </row>
    <row r="127" spans="2:23" s="2" customFormat="1">
      <c r="D127" s="46"/>
      <c r="E127" s="48"/>
      <c r="G127" s="46"/>
      <c r="H127" s="48"/>
      <c r="J127" s="49"/>
      <c r="K127" s="49"/>
      <c r="P127" s="46"/>
      <c r="Q127" s="48"/>
      <c r="S127" s="46"/>
      <c r="T127" s="67"/>
      <c r="V127" s="46"/>
      <c r="W127" s="49"/>
    </row>
    <row r="128" spans="2:23">
      <c r="C128" s="29" t="s">
        <v>312</v>
      </c>
      <c r="F128" s="29" t="s">
        <v>309</v>
      </c>
      <c r="I128" s="29" t="s">
        <v>313</v>
      </c>
    </row>
    <row r="129" spans="2:23">
      <c r="B129" s="340" t="s">
        <v>339</v>
      </c>
      <c r="C129" s="330" t="s">
        <v>10</v>
      </c>
      <c r="D129" s="331"/>
      <c r="E129" s="332"/>
      <c r="F129" s="330" t="s">
        <v>15</v>
      </c>
      <c r="G129" s="331"/>
      <c r="H129" s="332"/>
      <c r="I129" s="330" t="s">
        <v>17</v>
      </c>
      <c r="J129" s="331"/>
      <c r="K129" s="332"/>
      <c r="N129" s="340" t="s">
        <v>339</v>
      </c>
      <c r="O129" s="330" t="s">
        <v>10</v>
      </c>
      <c r="P129" s="331"/>
      <c r="Q129" s="332"/>
      <c r="R129" s="330" t="s">
        <v>15</v>
      </c>
      <c r="S129" s="331"/>
      <c r="T129" s="332"/>
      <c r="U129" s="330" t="s">
        <v>17</v>
      </c>
      <c r="V129" s="331"/>
      <c r="W129" s="332"/>
    </row>
    <row r="130" spans="2:23">
      <c r="B130" s="341"/>
      <c r="C130" s="30" t="s">
        <v>180</v>
      </c>
      <c r="D130" s="31" t="s">
        <v>41</v>
      </c>
      <c r="E130" s="31" t="s">
        <v>44</v>
      </c>
      <c r="F130" s="30" t="s">
        <v>180</v>
      </c>
      <c r="G130" s="31" t="s">
        <v>41</v>
      </c>
      <c r="H130" s="31" t="s">
        <v>44</v>
      </c>
      <c r="I130" s="30" t="s">
        <v>180</v>
      </c>
      <c r="J130" s="31" t="s">
        <v>41</v>
      </c>
      <c r="K130" s="31" t="s">
        <v>44</v>
      </c>
      <c r="N130" s="341"/>
      <c r="O130" s="30" t="s">
        <v>180</v>
      </c>
      <c r="P130" s="31" t="s">
        <v>41</v>
      </c>
      <c r="Q130" s="31" t="s">
        <v>44</v>
      </c>
      <c r="R130" s="30" t="s">
        <v>180</v>
      </c>
      <c r="S130" s="31" t="s">
        <v>41</v>
      </c>
      <c r="T130" s="31" t="s">
        <v>44</v>
      </c>
      <c r="U130" s="30" t="s">
        <v>180</v>
      </c>
      <c r="V130" s="31" t="s">
        <v>41</v>
      </c>
      <c r="W130" s="31" t="s">
        <v>44</v>
      </c>
    </row>
    <row r="131" spans="2:23">
      <c r="B131" s="32" t="s">
        <v>233</v>
      </c>
      <c r="C131" s="33">
        <v>37948000</v>
      </c>
      <c r="D131" s="32">
        <v>2</v>
      </c>
      <c r="E131" s="33">
        <f t="shared" ref="E131:E139" si="51">+C131*D131</f>
        <v>75896000</v>
      </c>
      <c r="F131" s="33">
        <v>38328000</v>
      </c>
      <c r="G131" s="32">
        <v>1</v>
      </c>
      <c r="H131" s="45">
        <f t="shared" ref="H131:H139" si="52">+F131*G131</f>
        <v>38328000</v>
      </c>
      <c r="I131" s="33">
        <v>38328000</v>
      </c>
      <c r="J131" s="32">
        <v>1</v>
      </c>
      <c r="K131" s="33">
        <f t="shared" ref="K131:K139" si="53">+I131*J131</f>
        <v>38328000</v>
      </c>
      <c r="N131" s="32" t="s">
        <v>233</v>
      </c>
      <c r="O131" s="33">
        <v>37948000</v>
      </c>
      <c r="P131" s="32">
        <v>2</v>
      </c>
      <c r="Q131" s="33">
        <f t="shared" ref="Q131:Q139" si="54">+O131*P131</f>
        <v>75896000</v>
      </c>
      <c r="R131" s="33">
        <v>38328000</v>
      </c>
      <c r="S131" s="32">
        <v>1</v>
      </c>
      <c r="T131" s="33">
        <f t="shared" ref="T131:T139" si="55">+R131*S131</f>
        <v>38328000</v>
      </c>
      <c r="U131" s="33">
        <v>38328000</v>
      </c>
      <c r="V131" s="32">
        <v>1</v>
      </c>
      <c r="W131" s="33">
        <f t="shared" ref="W131:W139" si="56">+U131*V131</f>
        <v>38328000</v>
      </c>
    </row>
    <row r="132" spans="2:23">
      <c r="B132" s="32" t="s">
        <v>234</v>
      </c>
      <c r="C132" s="33">
        <v>5126000</v>
      </c>
      <c r="D132" s="32">
        <v>2</v>
      </c>
      <c r="E132" s="33">
        <f t="shared" si="51"/>
        <v>10252000</v>
      </c>
      <c r="F132" s="33">
        <v>10206000</v>
      </c>
      <c r="G132" s="32">
        <v>1</v>
      </c>
      <c r="H132" s="45">
        <f t="shared" si="52"/>
        <v>10206000</v>
      </c>
      <c r="I132" s="33">
        <v>7031000</v>
      </c>
      <c r="J132" s="32">
        <v>1</v>
      </c>
      <c r="K132" s="33">
        <f t="shared" si="53"/>
        <v>7031000</v>
      </c>
      <c r="N132" s="32" t="s">
        <v>234</v>
      </c>
      <c r="O132" s="33">
        <v>5126000</v>
      </c>
      <c r="P132" s="32">
        <v>2</v>
      </c>
      <c r="Q132" s="33">
        <f t="shared" si="54"/>
        <v>10252000</v>
      </c>
      <c r="R132" s="33">
        <v>10206000</v>
      </c>
      <c r="S132" s="32">
        <v>1</v>
      </c>
      <c r="T132" s="33">
        <f t="shared" si="55"/>
        <v>10206000</v>
      </c>
      <c r="U132" s="33">
        <v>7031000</v>
      </c>
      <c r="V132" s="32">
        <v>1</v>
      </c>
      <c r="W132" s="33">
        <f t="shared" si="56"/>
        <v>7031000</v>
      </c>
    </row>
    <row r="133" spans="2:23">
      <c r="B133" s="32" t="s">
        <v>235</v>
      </c>
      <c r="C133" s="33">
        <v>6600</v>
      </c>
      <c r="D133" s="32">
        <v>0</v>
      </c>
      <c r="E133" s="33">
        <f t="shared" si="51"/>
        <v>0</v>
      </c>
      <c r="F133" s="33">
        <v>6600</v>
      </c>
      <c r="G133" s="32">
        <v>0</v>
      </c>
      <c r="H133" s="45">
        <f t="shared" si="52"/>
        <v>0</v>
      </c>
      <c r="I133" s="33">
        <v>6600</v>
      </c>
      <c r="J133" s="32">
        <v>0</v>
      </c>
      <c r="K133" s="33">
        <f t="shared" si="53"/>
        <v>0</v>
      </c>
      <c r="N133" s="32" t="s">
        <v>235</v>
      </c>
      <c r="O133" s="33">
        <v>4300</v>
      </c>
      <c r="P133" s="32">
        <v>0</v>
      </c>
      <c r="Q133" s="33">
        <f t="shared" si="54"/>
        <v>0</v>
      </c>
      <c r="R133" s="33">
        <v>4300</v>
      </c>
      <c r="S133" s="32">
        <v>0</v>
      </c>
      <c r="T133" s="33">
        <f t="shared" si="55"/>
        <v>0</v>
      </c>
      <c r="U133" s="33">
        <v>4300</v>
      </c>
      <c r="V133" s="32">
        <v>0</v>
      </c>
      <c r="W133" s="33">
        <f t="shared" si="56"/>
        <v>0</v>
      </c>
    </row>
    <row r="134" spans="2:23">
      <c r="B134" s="32" t="s">
        <v>236</v>
      </c>
      <c r="C134" s="33">
        <v>80300</v>
      </c>
      <c r="D134" s="32">
        <v>8</v>
      </c>
      <c r="E134" s="33">
        <f t="shared" si="51"/>
        <v>642400</v>
      </c>
      <c r="F134" s="33">
        <v>80300</v>
      </c>
      <c r="G134" s="32">
        <v>62</v>
      </c>
      <c r="H134" s="45">
        <f t="shared" si="52"/>
        <v>4978600</v>
      </c>
      <c r="I134" s="33">
        <v>80300</v>
      </c>
      <c r="J134" s="64">
        <v>50</v>
      </c>
      <c r="K134" s="33">
        <f t="shared" si="53"/>
        <v>4015000</v>
      </c>
      <c r="N134" s="32" t="s">
        <v>236</v>
      </c>
      <c r="O134" s="33">
        <v>80300</v>
      </c>
      <c r="P134" s="32">
        <v>8</v>
      </c>
      <c r="Q134" s="33">
        <f t="shared" si="54"/>
        <v>642400</v>
      </c>
      <c r="R134" s="33">
        <v>80300</v>
      </c>
      <c r="S134" s="32">
        <v>62</v>
      </c>
      <c r="T134" s="33">
        <f t="shared" si="55"/>
        <v>4978600</v>
      </c>
      <c r="U134" s="33">
        <v>80300</v>
      </c>
      <c r="V134" s="64">
        <v>50</v>
      </c>
      <c r="W134" s="33">
        <f t="shared" si="56"/>
        <v>4015000</v>
      </c>
    </row>
    <row r="135" spans="2:23">
      <c r="B135" s="32" t="s">
        <v>237</v>
      </c>
      <c r="C135" s="33">
        <v>1100000</v>
      </c>
      <c r="D135" s="32">
        <v>6</v>
      </c>
      <c r="E135" s="33">
        <f t="shared" si="51"/>
        <v>6600000</v>
      </c>
      <c r="F135" s="33">
        <v>1100000</v>
      </c>
      <c r="G135" s="32">
        <v>4</v>
      </c>
      <c r="H135" s="45">
        <f t="shared" si="52"/>
        <v>4400000</v>
      </c>
      <c r="I135" s="33">
        <v>1100000</v>
      </c>
      <c r="J135" s="32">
        <v>5</v>
      </c>
      <c r="K135" s="33">
        <f t="shared" si="53"/>
        <v>5500000</v>
      </c>
      <c r="N135" s="32" t="s">
        <v>237</v>
      </c>
      <c r="O135" s="33">
        <v>870000</v>
      </c>
      <c r="P135" s="32">
        <v>6</v>
      </c>
      <c r="Q135" s="33">
        <f t="shared" si="54"/>
        <v>5220000</v>
      </c>
      <c r="R135" s="33">
        <v>870000</v>
      </c>
      <c r="S135" s="32">
        <v>4</v>
      </c>
      <c r="T135" s="33">
        <f t="shared" si="55"/>
        <v>3480000</v>
      </c>
      <c r="U135" s="33">
        <v>870000</v>
      </c>
      <c r="V135" s="32">
        <v>5</v>
      </c>
      <c r="W135" s="33">
        <f t="shared" si="56"/>
        <v>4350000</v>
      </c>
    </row>
    <row r="136" spans="2:23">
      <c r="B136" s="32" t="s">
        <v>238</v>
      </c>
      <c r="C136" s="33">
        <v>550000</v>
      </c>
      <c r="D136" s="32">
        <v>0</v>
      </c>
      <c r="E136" s="33">
        <f t="shared" si="51"/>
        <v>0</v>
      </c>
      <c r="F136" s="33">
        <v>550000</v>
      </c>
      <c r="G136" s="32">
        <v>0</v>
      </c>
      <c r="H136" s="45">
        <f t="shared" si="52"/>
        <v>0</v>
      </c>
      <c r="I136" s="33">
        <v>550000</v>
      </c>
      <c r="J136" s="32">
        <v>0</v>
      </c>
      <c r="K136" s="33">
        <f t="shared" si="53"/>
        <v>0</v>
      </c>
      <c r="N136" s="32" t="s">
        <v>238</v>
      </c>
      <c r="O136" s="33">
        <v>435000</v>
      </c>
      <c r="P136" s="32">
        <v>0</v>
      </c>
      <c r="Q136" s="33">
        <f t="shared" si="54"/>
        <v>0</v>
      </c>
      <c r="R136" s="33">
        <v>435000</v>
      </c>
      <c r="S136" s="32">
        <v>0</v>
      </c>
      <c r="T136" s="33">
        <f t="shared" si="55"/>
        <v>0</v>
      </c>
      <c r="U136" s="33">
        <v>435000</v>
      </c>
      <c r="V136" s="32">
        <v>0</v>
      </c>
      <c r="W136" s="33">
        <f t="shared" si="56"/>
        <v>0</v>
      </c>
    </row>
    <row r="137" spans="2:23">
      <c r="B137" s="32" t="s">
        <v>239</v>
      </c>
      <c r="C137" s="33">
        <v>420000</v>
      </c>
      <c r="D137" s="32">
        <v>0</v>
      </c>
      <c r="E137" s="33">
        <f t="shared" si="51"/>
        <v>0</v>
      </c>
      <c r="F137" s="33">
        <v>420000</v>
      </c>
      <c r="G137" s="32">
        <v>0</v>
      </c>
      <c r="H137" s="45">
        <f t="shared" si="52"/>
        <v>0</v>
      </c>
      <c r="I137" s="33">
        <v>420000</v>
      </c>
      <c r="J137" s="32">
        <v>0</v>
      </c>
      <c r="K137" s="33">
        <f t="shared" si="53"/>
        <v>0</v>
      </c>
      <c r="N137" s="32" t="s">
        <v>239</v>
      </c>
      <c r="O137" s="33">
        <v>420000</v>
      </c>
      <c r="P137" s="32">
        <v>0</v>
      </c>
      <c r="Q137" s="33">
        <f t="shared" si="54"/>
        <v>0</v>
      </c>
      <c r="R137" s="33">
        <v>420000</v>
      </c>
      <c r="S137" s="32">
        <v>0</v>
      </c>
      <c r="T137" s="33">
        <f t="shared" si="55"/>
        <v>0</v>
      </c>
      <c r="U137" s="33">
        <v>420000</v>
      </c>
      <c r="V137" s="32">
        <v>0</v>
      </c>
      <c r="W137" s="33">
        <f t="shared" si="56"/>
        <v>0</v>
      </c>
    </row>
    <row r="138" spans="2:23">
      <c r="B138" s="32" t="s">
        <v>240</v>
      </c>
      <c r="C138" s="33">
        <v>450000</v>
      </c>
      <c r="D138" s="32">
        <v>0</v>
      </c>
      <c r="E138" s="33">
        <f t="shared" si="51"/>
        <v>0</v>
      </c>
      <c r="F138" s="33">
        <v>450000</v>
      </c>
      <c r="G138" s="32">
        <v>0</v>
      </c>
      <c r="H138" s="45">
        <f t="shared" si="52"/>
        <v>0</v>
      </c>
      <c r="I138" s="33">
        <v>450000</v>
      </c>
      <c r="J138" s="32">
        <v>0</v>
      </c>
      <c r="K138" s="33">
        <f t="shared" si="53"/>
        <v>0</v>
      </c>
      <c r="N138" s="32" t="s">
        <v>240</v>
      </c>
      <c r="O138" s="33">
        <v>450000</v>
      </c>
      <c r="P138" s="32">
        <v>0</v>
      </c>
      <c r="Q138" s="33">
        <f t="shared" si="54"/>
        <v>0</v>
      </c>
      <c r="R138" s="33">
        <v>450000</v>
      </c>
      <c r="S138" s="32">
        <v>0</v>
      </c>
      <c r="T138" s="33">
        <f t="shared" si="55"/>
        <v>0</v>
      </c>
      <c r="U138" s="33">
        <v>450000</v>
      </c>
      <c r="V138" s="32">
        <v>0</v>
      </c>
      <c r="W138" s="33">
        <f t="shared" si="56"/>
        <v>0</v>
      </c>
    </row>
    <row r="139" spans="2:23">
      <c r="B139" s="32" t="s">
        <v>241</v>
      </c>
      <c r="C139" s="33">
        <v>230000</v>
      </c>
      <c r="D139" s="32">
        <v>0</v>
      </c>
      <c r="E139" s="33">
        <f t="shared" si="51"/>
        <v>0</v>
      </c>
      <c r="F139" s="33">
        <v>230000</v>
      </c>
      <c r="G139" s="32">
        <v>0</v>
      </c>
      <c r="H139" s="45">
        <f t="shared" si="52"/>
        <v>0</v>
      </c>
      <c r="I139" s="33">
        <v>230000</v>
      </c>
      <c r="J139" s="32">
        <v>0</v>
      </c>
      <c r="K139" s="33">
        <f t="shared" si="53"/>
        <v>0</v>
      </c>
      <c r="N139" s="32" t="s">
        <v>241</v>
      </c>
      <c r="O139" s="33">
        <v>230000</v>
      </c>
      <c r="P139" s="32">
        <v>0</v>
      </c>
      <c r="Q139" s="33">
        <f t="shared" si="54"/>
        <v>0</v>
      </c>
      <c r="R139" s="33">
        <v>230000</v>
      </c>
      <c r="S139" s="32">
        <v>0</v>
      </c>
      <c r="T139" s="33">
        <f t="shared" si="55"/>
        <v>0</v>
      </c>
      <c r="U139" s="33">
        <v>230000</v>
      </c>
      <c r="V139" s="32">
        <v>0</v>
      </c>
      <c r="W139" s="33">
        <f t="shared" si="56"/>
        <v>0</v>
      </c>
    </row>
    <row r="140" spans="2:23">
      <c r="B140" s="35"/>
      <c r="C140" s="35"/>
      <c r="D140" s="31" t="s">
        <v>48</v>
      </c>
      <c r="E140" s="36">
        <f>SUM(E131:E139)</f>
        <v>93390400</v>
      </c>
      <c r="F140" s="35"/>
      <c r="G140" s="31" t="s">
        <v>48</v>
      </c>
      <c r="H140" s="36">
        <f>SUM(H131:H139)</f>
        <v>57912600</v>
      </c>
      <c r="I140" s="35"/>
      <c r="J140" s="31" t="s">
        <v>48</v>
      </c>
      <c r="K140" s="36">
        <f>SUM(K131:K139)</f>
        <v>54874000</v>
      </c>
      <c r="N140" s="35"/>
      <c r="O140" s="35"/>
      <c r="P140" s="31" t="s">
        <v>48</v>
      </c>
      <c r="Q140" s="36">
        <f>SUM(Q131:Q139)</f>
        <v>92010400</v>
      </c>
      <c r="R140" s="35"/>
      <c r="S140" s="31" t="s">
        <v>48</v>
      </c>
      <c r="T140" s="51">
        <f>SUM(T131:T139)</f>
        <v>56992600</v>
      </c>
      <c r="U140" s="35"/>
      <c r="V140" s="31" t="s">
        <v>48</v>
      </c>
      <c r="W140" s="36">
        <f>SUM(W131:W139)</f>
        <v>53724000</v>
      </c>
    </row>
    <row r="141" spans="2:23">
      <c r="J141" s="49" t="s">
        <v>20</v>
      </c>
      <c r="K141" s="49">
        <f>SUM(E125,H125,K125,E140,H140,K140)/SUM(D116,G116,J116,D131,G131,J131)</f>
        <v>47174907.470871329</v>
      </c>
      <c r="V141" s="49" t="s">
        <v>20</v>
      </c>
      <c r="W141" s="49">
        <f>SUM(Q125,T125,W125,Q140,T140,W140)/SUM(P116,S116,V116,P131,S131,V131)</f>
        <v>47042779.811296858</v>
      </c>
    </row>
    <row r="142" spans="2:23">
      <c r="J142" s="49"/>
      <c r="K142" s="49"/>
      <c r="W142" s="49"/>
    </row>
    <row r="143" spans="2:23">
      <c r="C143" s="29" t="s">
        <v>335</v>
      </c>
      <c r="F143" s="29" t="s">
        <v>254</v>
      </c>
      <c r="I143" s="29" t="s">
        <v>291</v>
      </c>
      <c r="K143" s="49"/>
      <c r="W143" s="49"/>
    </row>
    <row r="144" spans="2:23">
      <c r="B144" s="340" t="s">
        <v>340</v>
      </c>
      <c r="C144" s="330" t="s">
        <v>10</v>
      </c>
      <c r="D144" s="331"/>
      <c r="E144" s="332"/>
      <c r="F144" s="330" t="s">
        <v>15</v>
      </c>
      <c r="G144" s="331"/>
      <c r="H144" s="332"/>
      <c r="I144" s="330" t="s">
        <v>17</v>
      </c>
      <c r="J144" s="331"/>
      <c r="K144" s="332"/>
      <c r="N144" s="381" t="s">
        <v>340</v>
      </c>
      <c r="O144" s="330" t="s">
        <v>10</v>
      </c>
      <c r="P144" s="331"/>
      <c r="Q144" s="332"/>
      <c r="R144" s="330" t="s">
        <v>15</v>
      </c>
      <c r="S144" s="331"/>
      <c r="T144" s="332"/>
      <c r="U144" s="330" t="s">
        <v>17</v>
      </c>
      <c r="V144" s="331"/>
      <c r="W144" s="332"/>
    </row>
    <row r="145" spans="2:23">
      <c r="B145" s="341"/>
      <c r="C145" s="30" t="s">
        <v>180</v>
      </c>
      <c r="D145" s="31" t="s">
        <v>41</v>
      </c>
      <c r="E145" s="31" t="s">
        <v>44</v>
      </c>
      <c r="F145" s="30" t="s">
        <v>180</v>
      </c>
      <c r="G145" s="31" t="s">
        <v>41</v>
      </c>
      <c r="H145" s="31" t="s">
        <v>44</v>
      </c>
      <c r="I145" s="30" t="s">
        <v>180</v>
      </c>
      <c r="J145" s="31" t="s">
        <v>41</v>
      </c>
      <c r="K145" s="31" t="s">
        <v>44</v>
      </c>
      <c r="N145" s="382"/>
      <c r="O145" s="30" t="s">
        <v>180</v>
      </c>
      <c r="P145" s="31" t="s">
        <v>41</v>
      </c>
      <c r="Q145" s="31" t="s">
        <v>44</v>
      </c>
      <c r="R145" s="30" t="s">
        <v>180</v>
      </c>
      <c r="S145" s="31" t="s">
        <v>41</v>
      </c>
      <c r="T145" s="31" t="s">
        <v>44</v>
      </c>
      <c r="U145" s="30" t="s">
        <v>180</v>
      </c>
      <c r="V145" s="31" t="s">
        <v>41</v>
      </c>
      <c r="W145" s="31" t="s">
        <v>44</v>
      </c>
    </row>
    <row r="146" spans="2:23">
      <c r="B146" s="32" t="s">
        <v>233</v>
      </c>
      <c r="C146" s="33">
        <v>33775743</v>
      </c>
      <c r="D146" s="32">
        <v>18</v>
      </c>
      <c r="E146" s="33">
        <f t="shared" ref="E146:E154" si="57">+C146*D146</f>
        <v>607963374</v>
      </c>
      <c r="F146" s="33">
        <v>35375743</v>
      </c>
      <c r="G146" s="32">
        <v>19</v>
      </c>
      <c r="H146" s="33">
        <f t="shared" ref="H146:H154" si="58">+F146*G146</f>
        <v>672139117</v>
      </c>
      <c r="I146" s="33">
        <v>35875743</v>
      </c>
      <c r="J146" s="32">
        <v>6</v>
      </c>
      <c r="K146" s="33">
        <f t="shared" ref="K146:K154" si="59">+I146*J146</f>
        <v>215254458</v>
      </c>
      <c r="N146" s="32" t="s">
        <v>233</v>
      </c>
      <c r="O146" s="33">
        <v>33775743</v>
      </c>
      <c r="P146" s="32">
        <v>18</v>
      </c>
      <c r="Q146" s="33">
        <f t="shared" ref="Q146:Q154" si="60">+O146*P146</f>
        <v>607963374</v>
      </c>
      <c r="R146" s="33">
        <v>35375743</v>
      </c>
      <c r="S146" s="32">
        <v>19</v>
      </c>
      <c r="T146" s="33">
        <f t="shared" ref="T146:T154" si="61">+R146*S146</f>
        <v>672139117</v>
      </c>
      <c r="U146" s="33">
        <v>35875743</v>
      </c>
      <c r="V146" s="32">
        <v>6</v>
      </c>
      <c r="W146" s="33">
        <f t="shared" ref="W146:W154" si="62">+U146*V146</f>
        <v>215254458</v>
      </c>
    </row>
    <row r="147" spans="2:23">
      <c r="B147" s="32" t="s">
        <v>234</v>
      </c>
      <c r="C147" s="33">
        <v>5199040</v>
      </c>
      <c r="D147" s="32">
        <v>18</v>
      </c>
      <c r="E147" s="33">
        <f t="shared" si="57"/>
        <v>93582720</v>
      </c>
      <c r="F147" s="33">
        <v>6986210</v>
      </c>
      <c r="G147" s="32">
        <v>19</v>
      </c>
      <c r="H147" s="33">
        <f t="shared" si="58"/>
        <v>132737990</v>
      </c>
      <c r="I147" s="33">
        <v>6986210</v>
      </c>
      <c r="J147" s="32">
        <v>6</v>
      </c>
      <c r="K147" s="33">
        <f t="shared" si="59"/>
        <v>41917260</v>
      </c>
      <c r="N147" s="32" t="s">
        <v>234</v>
      </c>
      <c r="O147" s="33">
        <v>5199040</v>
      </c>
      <c r="P147" s="32">
        <v>18</v>
      </c>
      <c r="Q147" s="33">
        <f t="shared" si="60"/>
        <v>93582720</v>
      </c>
      <c r="R147" s="33">
        <v>6986210</v>
      </c>
      <c r="S147" s="32">
        <v>19</v>
      </c>
      <c r="T147" s="33">
        <f t="shared" si="61"/>
        <v>132737990</v>
      </c>
      <c r="U147" s="33">
        <v>6986210</v>
      </c>
      <c r="V147" s="32">
        <v>6</v>
      </c>
      <c r="W147" s="33">
        <f t="shared" si="62"/>
        <v>41917260</v>
      </c>
    </row>
    <row r="148" spans="2:23">
      <c r="B148" s="32" t="s">
        <v>235</v>
      </c>
      <c r="C148" s="33">
        <v>8000</v>
      </c>
      <c r="D148" s="33">
        <v>0</v>
      </c>
      <c r="E148" s="33">
        <f t="shared" si="57"/>
        <v>0</v>
      </c>
      <c r="F148" s="33">
        <v>8000</v>
      </c>
      <c r="G148" s="32">
        <v>0</v>
      </c>
      <c r="H148" s="33">
        <f t="shared" si="58"/>
        <v>0</v>
      </c>
      <c r="I148" s="33">
        <v>8000</v>
      </c>
      <c r="J148" s="32">
        <v>0</v>
      </c>
      <c r="K148" s="33">
        <f t="shared" si="59"/>
        <v>0</v>
      </c>
      <c r="N148" s="32" t="s">
        <v>235</v>
      </c>
      <c r="O148" s="33">
        <v>8000</v>
      </c>
      <c r="P148" s="33">
        <v>0</v>
      </c>
      <c r="Q148" s="33">
        <f t="shared" si="60"/>
        <v>0</v>
      </c>
      <c r="R148" s="33">
        <v>8000</v>
      </c>
      <c r="S148" s="32">
        <v>0</v>
      </c>
      <c r="T148" s="33">
        <f t="shared" si="61"/>
        <v>0</v>
      </c>
      <c r="U148" s="33">
        <v>8000</v>
      </c>
      <c r="V148" s="32">
        <v>0</v>
      </c>
      <c r="W148" s="33">
        <f t="shared" si="62"/>
        <v>0</v>
      </c>
    </row>
    <row r="149" spans="2:23">
      <c r="B149" s="32" t="s">
        <v>236</v>
      </c>
      <c r="C149" s="33">
        <v>80000</v>
      </c>
      <c r="D149" s="33">
        <v>372.56543542074297</v>
      </c>
      <c r="E149" s="33">
        <f t="shared" si="57"/>
        <v>29805234.833659437</v>
      </c>
      <c r="F149" s="33">
        <v>80000</v>
      </c>
      <c r="G149" s="64">
        <v>647.20000000000005</v>
      </c>
      <c r="H149" s="33">
        <f t="shared" si="58"/>
        <v>51776000</v>
      </c>
      <c r="I149" s="33">
        <v>80000</v>
      </c>
      <c r="J149" s="64">
        <v>122.73333333333299</v>
      </c>
      <c r="K149" s="33">
        <f t="shared" si="59"/>
        <v>9818666.66666664</v>
      </c>
      <c r="N149" s="32" t="s">
        <v>236</v>
      </c>
      <c r="O149" s="33">
        <v>80000</v>
      </c>
      <c r="P149" s="33">
        <v>372.56543542074297</v>
      </c>
      <c r="Q149" s="33">
        <f t="shared" si="60"/>
        <v>29805234.833659437</v>
      </c>
      <c r="R149" s="33">
        <v>80000</v>
      </c>
      <c r="S149" s="64">
        <v>647.20000000000005</v>
      </c>
      <c r="T149" s="33">
        <f t="shared" si="61"/>
        <v>51776000</v>
      </c>
      <c r="U149" s="33">
        <v>80000</v>
      </c>
      <c r="V149" s="64">
        <v>122.73333333333299</v>
      </c>
      <c r="W149" s="33">
        <f t="shared" si="62"/>
        <v>9818666.66666664</v>
      </c>
    </row>
    <row r="150" spans="2:23">
      <c r="B150" s="32" t="s">
        <v>237</v>
      </c>
      <c r="C150" s="33">
        <v>1800000</v>
      </c>
      <c r="D150" s="33">
        <v>4</v>
      </c>
      <c r="E150" s="33">
        <f t="shared" si="57"/>
        <v>7200000</v>
      </c>
      <c r="F150" s="33">
        <v>1800000</v>
      </c>
      <c r="G150" s="32">
        <v>6</v>
      </c>
      <c r="H150" s="33">
        <f t="shared" si="58"/>
        <v>10800000</v>
      </c>
      <c r="I150" s="33">
        <v>1800000</v>
      </c>
      <c r="J150" s="32">
        <v>2</v>
      </c>
      <c r="K150" s="33">
        <f t="shared" si="59"/>
        <v>3600000</v>
      </c>
      <c r="N150" s="32" t="s">
        <v>237</v>
      </c>
      <c r="O150" s="33">
        <v>1800000</v>
      </c>
      <c r="P150" s="33">
        <v>4</v>
      </c>
      <c r="Q150" s="33">
        <f t="shared" si="60"/>
        <v>7200000</v>
      </c>
      <c r="R150" s="33">
        <v>1800000</v>
      </c>
      <c r="S150" s="32">
        <v>6</v>
      </c>
      <c r="T150" s="33">
        <f t="shared" si="61"/>
        <v>10800000</v>
      </c>
      <c r="U150" s="33">
        <v>1800000</v>
      </c>
      <c r="V150" s="32">
        <v>2</v>
      </c>
      <c r="W150" s="33">
        <f t="shared" si="62"/>
        <v>3600000</v>
      </c>
    </row>
    <row r="151" spans="2:23">
      <c r="B151" s="32" t="s">
        <v>238</v>
      </c>
      <c r="C151" s="33">
        <v>1350000</v>
      </c>
      <c r="D151" s="33">
        <v>0</v>
      </c>
      <c r="E151" s="33">
        <f t="shared" si="57"/>
        <v>0</v>
      </c>
      <c r="F151" s="33">
        <v>1350000</v>
      </c>
      <c r="G151" s="32">
        <v>0</v>
      </c>
      <c r="H151" s="33">
        <f t="shared" si="58"/>
        <v>0</v>
      </c>
      <c r="I151" s="33">
        <v>1350000</v>
      </c>
      <c r="J151" s="32">
        <v>0</v>
      </c>
      <c r="K151" s="33">
        <f t="shared" si="59"/>
        <v>0</v>
      </c>
      <c r="N151" s="32" t="s">
        <v>238</v>
      </c>
      <c r="O151" s="33">
        <v>1350000</v>
      </c>
      <c r="P151" s="33">
        <v>0</v>
      </c>
      <c r="Q151" s="33">
        <f t="shared" si="60"/>
        <v>0</v>
      </c>
      <c r="R151" s="33">
        <v>1350000</v>
      </c>
      <c r="S151" s="32">
        <v>0</v>
      </c>
      <c r="T151" s="33">
        <f t="shared" si="61"/>
        <v>0</v>
      </c>
      <c r="U151" s="33">
        <v>1350000</v>
      </c>
      <c r="V151" s="32">
        <v>0</v>
      </c>
      <c r="W151" s="33">
        <f t="shared" si="62"/>
        <v>0</v>
      </c>
    </row>
    <row r="152" spans="2:23">
      <c r="B152" s="32" t="s">
        <v>239</v>
      </c>
      <c r="C152" s="33">
        <v>300000</v>
      </c>
      <c r="D152" s="33">
        <v>0</v>
      </c>
      <c r="E152" s="33">
        <f t="shared" si="57"/>
        <v>0</v>
      </c>
      <c r="F152" s="33">
        <v>300000</v>
      </c>
      <c r="G152" s="32">
        <v>0</v>
      </c>
      <c r="H152" s="33">
        <f t="shared" si="58"/>
        <v>0</v>
      </c>
      <c r="I152" s="33">
        <v>300000</v>
      </c>
      <c r="J152" s="32">
        <v>0</v>
      </c>
      <c r="K152" s="33">
        <f t="shared" si="59"/>
        <v>0</v>
      </c>
      <c r="N152" s="32" t="s">
        <v>239</v>
      </c>
      <c r="O152" s="33">
        <v>300000</v>
      </c>
      <c r="P152" s="33">
        <v>0</v>
      </c>
      <c r="Q152" s="33">
        <f t="shared" si="60"/>
        <v>0</v>
      </c>
      <c r="R152" s="33">
        <v>300000</v>
      </c>
      <c r="S152" s="32">
        <v>0</v>
      </c>
      <c r="T152" s="33">
        <f t="shared" si="61"/>
        <v>0</v>
      </c>
      <c r="U152" s="33">
        <v>300000</v>
      </c>
      <c r="V152" s="32">
        <v>0</v>
      </c>
      <c r="W152" s="33">
        <f t="shared" si="62"/>
        <v>0</v>
      </c>
    </row>
    <row r="153" spans="2:23">
      <c r="B153" s="32" t="s">
        <v>240</v>
      </c>
      <c r="C153" s="33">
        <v>200000</v>
      </c>
      <c r="D153" s="33">
        <v>0</v>
      </c>
      <c r="E153" s="33">
        <f t="shared" si="57"/>
        <v>0</v>
      </c>
      <c r="F153" s="33">
        <v>200000</v>
      </c>
      <c r="G153" s="32">
        <v>0</v>
      </c>
      <c r="H153" s="33">
        <f t="shared" si="58"/>
        <v>0</v>
      </c>
      <c r="I153" s="33">
        <v>200000</v>
      </c>
      <c r="J153" s="32">
        <v>0</v>
      </c>
      <c r="K153" s="33">
        <f t="shared" si="59"/>
        <v>0</v>
      </c>
      <c r="N153" s="32" t="s">
        <v>240</v>
      </c>
      <c r="O153" s="33">
        <v>200000</v>
      </c>
      <c r="P153" s="33">
        <v>0</v>
      </c>
      <c r="Q153" s="33">
        <f t="shared" si="60"/>
        <v>0</v>
      </c>
      <c r="R153" s="33">
        <v>200000</v>
      </c>
      <c r="S153" s="32">
        <v>0</v>
      </c>
      <c r="T153" s="33">
        <f t="shared" si="61"/>
        <v>0</v>
      </c>
      <c r="U153" s="33">
        <v>200000</v>
      </c>
      <c r="V153" s="32">
        <v>0</v>
      </c>
      <c r="W153" s="33">
        <f t="shared" si="62"/>
        <v>0</v>
      </c>
    </row>
    <row r="154" spans="2:23">
      <c r="B154" s="32" t="s">
        <v>241</v>
      </c>
      <c r="C154" s="33">
        <v>162470</v>
      </c>
      <c r="D154" s="32">
        <v>0</v>
      </c>
      <c r="E154" s="33">
        <f t="shared" si="57"/>
        <v>0</v>
      </c>
      <c r="F154" s="33">
        <v>162470</v>
      </c>
      <c r="G154" s="32">
        <v>0</v>
      </c>
      <c r="H154" s="33">
        <f t="shared" si="58"/>
        <v>0</v>
      </c>
      <c r="I154" s="33">
        <v>162470</v>
      </c>
      <c r="J154" s="32">
        <v>0</v>
      </c>
      <c r="K154" s="33">
        <f t="shared" si="59"/>
        <v>0</v>
      </c>
      <c r="N154" s="32" t="s">
        <v>241</v>
      </c>
      <c r="O154" s="33">
        <v>162470</v>
      </c>
      <c r="P154" s="32">
        <v>0</v>
      </c>
      <c r="Q154" s="33">
        <f t="shared" si="60"/>
        <v>0</v>
      </c>
      <c r="R154" s="33">
        <v>162470</v>
      </c>
      <c r="S154" s="32">
        <v>0</v>
      </c>
      <c r="T154" s="33">
        <f t="shared" si="61"/>
        <v>0</v>
      </c>
      <c r="U154" s="33">
        <v>162470</v>
      </c>
      <c r="V154" s="32">
        <v>0</v>
      </c>
      <c r="W154" s="33">
        <f t="shared" si="62"/>
        <v>0</v>
      </c>
    </row>
    <row r="155" spans="2:23">
      <c r="B155" s="35"/>
      <c r="C155" s="35"/>
      <c r="D155" s="31" t="s">
        <v>48</v>
      </c>
      <c r="E155" s="36">
        <f>SUM(E146:E154)</f>
        <v>738551328.83365941</v>
      </c>
      <c r="F155" s="35"/>
      <c r="G155" s="31" t="s">
        <v>48</v>
      </c>
      <c r="H155" s="55">
        <f>SUM(H146:H154)</f>
        <v>867453107</v>
      </c>
      <c r="I155" s="35"/>
      <c r="J155" s="31" t="s">
        <v>48</v>
      </c>
      <c r="K155" s="36">
        <f>SUM(K146:K154)</f>
        <v>270590384.66666663</v>
      </c>
      <c r="N155" s="35"/>
      <c r="O155" s="35"/>
      <c r="P155" s="31" t="s">
        <v>48</v>
      </c>
      <c r="Q155" s="36">
        <f>SUM(Q146:Q154)</f>
        <v>738551328.83365941</v>
      </c>
      <c r="R155" s="35"/>
      <c r="S155" s="31" t="s">
        <v>48</v>
      </c>
      <c r="T155" s="51">
        <f>SUM(T146:T154)</f>
        <v>867453107</v>
      </c>
      <c r="U155" s="35"/>
      <c r="V155" s="31" t="s">
        <v>48</v>
      </c>
      <c r="W155" s="36">
        <f>SUM(W146:W154)</f>
        <v>270590384.66666663</v>
      </c>
    </row>
    <row r="156" spans="2:23">
      <c r="K156" s="49"/>
      <c r="W156" s="49"/>
    </row>
    <row r="158" spans="2:23">
      <c r="B158" s="340" t="s">
        <v>341</v>
      </c>
      <c r="C158" s="330" t="s">
        <v>10</v>
      </c>
      <c r="D158" s="331"/>
      <c r="E158" s="332"/>
      <c r="F158" s="330" t="s">
        <v>15</v>
      </c>
      <c r="G158" s="331"/>
      <c r="H158" s="332"/>
      <c r="I158" s="330" t="s">
        <v>17</v>
      </c>
      <c r="J158" s="331"/>
      <c r="K158" s="332"/>
      <c r="N158" s="381" t="s">
        <v>341</v>
      </c>
      <c r="O158" s="330" t="s">
        <v>10</v>
      </c>
      <c r="P158" s="331"/>
      <c r="Q158" s="332"/>
      <c r="R158" s="330" t="s">
        <v>15</v>
      </c>
      <c r="S158" s="331"/>
      <c r="T158" s="332"/>
      <c r="U158" s="330" t="s">
        <v>17</v>
      </c>
      <c r="V158" s="331"/>
      <c r="W158" s="332"/>
    </row>
    <row r="159" spans="2:23">
      <c r="B159" s="341"/>
      <c r="C159" s="30" t="s">
        <v>180</v>
      </c>
      <c r="D159" s="31" t="s">
        <v>41</v>
      </c>
      <c r="E159" s="31" t="s">
        <v>44</v>
      </c>
      <c r="F159" s="30" t="s">
        <v>180</v>
      </c>
      <c r="G159" s="31" t="s">
        <v>41</v>
      </c>
      <c r="H159" s="31" t="s">
        <v>44</v>
      </c>
      <c r="I159" s="30" t="s">
        <v>180</v>
      </c>
      <c r="J159" s="31" t="s">
        <v>41</v>
      </c>
      <c r="K159" s="31" t="s">
        <v>44</v>
      </c>
      <c r="N159" s="382"/>
      <c r="O159" s="30" t="s">
        <v>180</v>
      </c>
      <c r="P159" s="31" t="s">
        <v>41</v>
      </c>
      <c r="Q159" s="31" t="s">
        <v>44</v>
      </c>
      <c r="R159" s="30" t="s">
        <v>180</v>
      </c>
      <c r="S159" s="31" t="s">
        <v>41</v>
      </c>
      <c r="T159" s="31" t="s">
        <v>44</v>
      </c>
      <c r="U159" s="30" t="s">
        <v>180</v>
      </c>
      <c r="V159" s="31" t="s">
        <v>41</v>
      </c>
      <c r="W159" s="31" t="s">
        <v>44</v>
      </c>
    </row>
    <row r="160" spans="2:23">
      <c r="B160" s="32" t="s">
        <v>233</v>
      </c>
      <c r="C160" s="33">
        <v>33675742.592592597</v>
      </c>
      <c r="D160" s="32">
        <v>2</v>
      </c>
      <c r="E160" s="33">
        <f t="shared" ref="E160:E168" si="63">+C160*D160</f>
        <v>67351485.185185194</v>
      </c>
      <c r="F160" s="33">
        <v>36575742.592592597</v>
      </c>
      <c r="G160" s="32">
        <v>1</v>
      </c>
      <c r="H160" s="33">
        <f t="shared" ref="H160:H168" si="64">+F160*G160</f>
        <v>36575742.592592597</v>
      </c>
      <c r="I160" s="33">
        <v>34675742.592592597</v>
      </c>
      <c r="J160" s="32">
        <v>1</v>
      </c>
      <c r="K160" s="33">
        <f t="shared" ref="K160:K168" si="65">+I160*J160</f>
        <v>34675742.592592597</v>
      </c>
      <c r="N160" s="32" t="s">
        <v>233</v>
      </c>
      <c r="O160" s="33">
        <v>33675742.592592597</v>
      </c>
      <c r="P160" s="32">
        <v>2</v>
      </c>
      <c r="Q160" s="33">
        <f t="shared" ref="Q160:Q168" si="66">+O160*P160</f>
        <v>67351485.185185194</v>
      </c>
      <c r="R160" s="33">
        <v>36575742.592592597</v>
      </c>
      <c r="S160" s="32">
        <v>1</v>
      </c>
      <c r="T160" s="33">
        <f t="shared" ref="T160:T168" si="67">+R160*S160</f>
        <v>36575742.592592597</v>
      </c>
      <c r="U160" s="33">
        <v>34675742.592592597</v>
      </c>
      <c r="V160" s="32">
        <v>1</v>
      </c>
      <c r="W160" s="33">
        <f t="shared" ref="W160:W168" si="68">+U160*V160</f>
        <v>34675742.592592597</v>
      </c>
    </row>
    <row r="161" spans="2:23">
      <c r="B161" s="32" t="s">
        <v>234</v>
      </c>
      <c r="C161" s="33">
        <v>3736810</v>
      </c>
      <c r="D161" s="32">
        <v>2</v>
      </c>
      <c r="E161" s="33">
        <f t="shared" si="63"/>
        <v>7473620</v>
      </c>
      <c r="F161" s="33">
        <v>7311150</v>
      </c>
      <c r="G161" s="32">
        <v>1</v>
      </c>
      <c r="H161" s="33">
        <f t="shared" si="64"/>
        <v>7311150</v>
      </c>
      <c r="I161" s="33">
        <v>5036570</v>
      </c>
      <c r="J161" s="32">
        <v>1</v>
      </c>
      <c r="K161" s="33">
        <f t="shared" si="65"/>
        <v>5036570</v>
      </c>
      <c r="N161" s="32" t="s">
        <v>234</v>
      </c>
      <c r="O161" s="33">
        <v>3736810</v>
      </c>
      <c r="P161" s="32">
        <v>2</v>
      </c>
      <c r="Q161" s="33">
        <f t="shared" si="66"/>
        <v>7473620</v>
      </c>
      <c r="R161" s="33">
        <v>7311150</v>
      </c>
      <c r="S161" s="32">
        <v>1</v>
      </c>
      <c r="T161" s="33">
        <f t="shared" si="67"/>
        <v>7311150</v>
      </c>
      <c r="U161" s="33">
        <v>5036570</v>
      </c>
      <c r="V161" s="32">
        <v>1</v>
      </c>
      <c r="W161" s="33">
        <f t="shared" si="68"/>
        <v>5036570</v>
      </c>
    </row>
    <row r="162" spans="2:23">
      <c r="B162" s="32" t="s">
        <v>235</v>
      </c>
      <c r="C162" s="33">
        <v>8000</v>
      </c>
      <c r="D162" s="32">
        <v>0</v>
      </c>
      <c r="E162" s="33">
        <f t="shared" si="63"/>
        <v>0</v>
      </c>
      <c r="F162" s="33">
        <v>8000</v>
      </c>
      <c r="G162" s="32">
        <v>0</v>
      </c>
      <c r="H162" s="33">
        <f t="shared" si="64"/>
        <v>0</v>
      </c>
      <c r="I162" s="33">
        <v>8000</v>
      </c>
      <c r="J162" s="32">
        <v>0</v>
      </c>
      <c r="K162" s="33">
        <f t="shared" si="65"/>
        <v>0</v>
      </c>
      <c r="N162" s="32" t="s">
        <v>235</v>
      </c>
      <c r="O162" s="33">
        <v>8000</v>
      </c>
      <c r="P162" s="32">
        <v>0</v>
      </c>
      <c r="Q162" s="33">
        <f t="shared" si="66"/>
        <v>0</v>
      </c>
      <c r="R162" s="33">
        <v>8000</v>
      </c>
      <c r="S162" s="32">
        <v>0</v>
      </c>
      <c r="T162" s="33">
        <f t="shared" si="67"/>
        <v>0</v>
      </c>
      <c r="U162" s="33">
        <v>8000</v>
      </c>
      <c r="V162" s="32">
        <v>0</v>
      </c>
      <c r="W162" s="33">
        <f t="shared" si="68"/>
        <v>0</v>
      </c>
    </row>
    <row r="163" spans="2:23">
      <c r="B163" s="32" t="s">
        <v>236</v>
      </c>
      <c r="C163" s="33">
        <v>80000</v>
      </c>
      <c r="D163" s="32">
        <v>8</v>
      </c>
      <c r="E163" s="33">
        <f t="shared" si="63"/>
        <v>640000</v>
      </c>
      <c r="F163" s="33">
        <v>80000</v>
      </c>
      <c r="G163" s="32">
        <v>62</v>
      </c>
      <c r="H163" s="33">
        <f t="shared" si="64"/>
        <v>4960000</v>
      </c>
      <c r="I163" s="33">
        <v>80000</v>
      </c>
      <c r="J163" s="64">
        <v>50</v>
      </c>
      <c r="K163" s="33">
        <f t="shared" si="65"/>
        <v>4000000</v>
      </c>
      <c r="N163" s="32" t="s">
        <v>236</v>
      </c>
      <c r="O163" s="33">
        <v>80000</v>
      </c>
      <c r="P163" s="32">
        <v>8</v>
      </c>
      <c r="Q163" s="33">
        <f t="shared" si="66"/>
        <v>640000</v>
      </c>
      <c r="R163" s="33">
        <v>80000</v>
      </c>
      <c r="S163" s="32">
        <v>62</v>
      </c>
      <c r="T163" s="33">
        <f t="shared" si="67"/>
        <v>4960000</v>
      </c>
      <c r="U163" s="33">
        <v>80000</v>
      </c>
      <c r="V163" s="64">
        <v>50</v>
      </c>
      <c r="W163" s="33">
        <f t="shared" si="68"/>
        <v>4000000</v>
      </c>
    </row>
    <row r="164" spans="2:23">
      <c r="B164" s="32" t="s">
        <v>237</v>
      </c>
      <c r="C164" s="33">
        <v>1800000</v>
      </c>
      <c r="D164" s="32">
        <v>6</v>
      </c>
      <c r="E164" s="33">
        <f t="shared" si="63"/>
        <v>10800000</v>
      </c>
      <c r="F164" s="33">
        <v>1800000</v>
      </c>
      <c r="G164" s="32">
        <v>4</v>
      </c>
      <c r="H164" s="33">
        <f t="shared" si="64"/>
        <v>7200000</v>
      </c>
      <c r="I164" s="33">
        <v>1800000</v>
      </c>
      <c r="J164" s="32">
        <v>5</v>
      </c>
      <c r="K164" s="33">
        <f t="shared" si="65"/>
        <v>9000000</v>
      </c>
      <c r="N164" s="32" t="s">
        <v>237</v>
      </c>
      <c r="O164" s="33">
        <v>1800000</v>
      </c>
      <c r="P164" s="32">
        <v>6</v>
      </c>
      <c r="Q164" s="33">
        <f t="shared" si="66"/>
        <v>10800000</v>
      </c>
      <c r="R164" s="33">
        <v>1800000</v>
      </c>
      <c r="S164" s="32">
        <v>4</v>
      </c>
      <c r="T164" s="33">
        <f t="shared" si="67"/>
        <v>7200000</v>
      </c>
      <c r="U164" s="33">
        <v>1800000</v>
      </c>
      <c r="V164" s="32">
        <v>5</v>
      </c>
      <c r="W164" s="33">
        <f t="shared" si="68"/>
        <v>9000000</v>
      </c>
    </row>
    <row r="165" spans="2:23">
      <c r="B165" s="32" t="s">
        <v>238</v>
      </c>
      <c r="C165" s="33">
        <v>1350000</v>
      </c>
      <c r="D165" s="32">
        <v>0</v>
      </c>
      <c r="E165" s="33">
        <f t="shared" si="63"/>
        <v>0</v>
      </c>
      <c r="F165" s="33">
        <v>1350000</v>
      </c>
      <c r="G165" s="32">
        <v>0</v>
      </c>
      <c r="H165" s="33">
        <f t="shared" si="64"/>
        <v>0</v>
      </c>
      <c r="I165" s="33">
        <v>1350000</v>
      </c>
      <c r="J165" s="32">
        <v>0</v>
      </c>
      <c r="K165" s="33">
        <f t="shared" si="65"/>
        <v>0</v>
      </c>
      <c r="N165" s="32" t="s">
        <v>238</v>
      </c>
      <c r="O165" s="33">
        <v>1350000</v>
      </c>
      <c r="P165" s="32">
        <v>0</v>
      </c>
      <c r="Q165" s="33">
        <f t="shared" si="66"/>
        <v>0</v>
      </c>
      <c r="R165" s="33">
        <v>1350000</v>
      </c>
      <c r="S165" s="32">
        <v>0</v>
      </c>
      <c r="T165" s="33">
        <f t="shared" si="67"/>
        <v>0</v>
      </c>
      <c r="U165" s="33">
        <v>1350000</v>
      </c>
      <c r="V165" s="32">
        <v>0</v>
      </c>
      <c r="W165" s="33">
        <f t="shared" si="68"/>
        <v>0</v>
      </c>
    </row>
    <row r="166" spans="2:23">
      <c r="B166" s="32" t="s">
        <v>239</v>
      </c>
      <c r="C166" s="33">
        <v>300000</v>
      </c>
      <c r="D166" s="32">
        <v>0</v>
      </c>
      <c r="E166" s="33">
        <f t="shared" si="63"/>
        <v>0</v>
      </c>
      <c r="F166" s="33">
        <v>300000</v>
      </c>
      <c r="G166" s="32">
        <v>0</v>
      </c>
      <c r="H166" s="33">
        <f t="shared" si="64"/>
        <v>0</v>
      </c>
      <c r="I166" s="33">
        <v>300000</v>
      </c>
      <c r="J166" s="32">
        <v>0</v>
      </c>
      <c r="K166" s="33">
        <f t="shared" si="65"/>
        <v>0</v>
      </c>
      <c r="N166" s="32" t="s">
        <v>239</v>
      </c>
      <c r="O166" s="33">
        <v>300000</v>
      </c>
      <c r="P166" s="32">
        <v>0</v>
      </c>
      <c r="Q166" s="33">
        <f t="shared" si="66"/>
        <v>0</v>
      </c>
      <c r="R166" s="33">
        <v>300000</v>
      </c>
      <c r="S166" s="32">
        <v>0</v>
      </c>
      <c r="T166" s="33">
        <f t="shared" si="67"/>
        <v>0</v>
      </c>
      <c r="U166" s="33">
        <v>300000</v>
      </c>
      <c r="V166" s="32">
        <v>0</v>
      </c>
      <c r="W166" s="33">
        <f t="shared" si="68"/>
        <v>0</v>
      </c>
    </row>
    <row r="167" spans="2:23">
      <c r="B167" s="32" t="s">
        <v>240</v>
      </c>
      <c r="C167" s="33">
        <v>200000</v>
      </c>
      <c r="D167" s="32">
        <v>0</v>
      </c>
      <c r="E167" s="33">
        <f t="shared" si="63"/>
        <v>0</v>
      </c>
      <c r="F167" s="33">
        <v>200000</v>
      </c>
      <c r="G167" s="32">
        <v>0</v>
      </c>
      <c r="H167" s="33">
        <f t="shared" si="64"/>
        <v>0</v>
      </c>
      <c r="I167" s="33">
        <v>200000</v>
      </c>
      <c r="J167" s="32">
        <v>0</v>
      </c>
      <c r="K167" s="33">
        <f t="shared" si="65"/>
        <v>0</v>
      </c>
      <c r="N167" s="32" t="s">
        <v>240</v>
      </c>
      <c r="O167" s="33">
        <v>200000</v>
      </c>
      <c r="P167" s="32">
        <v>0</v>
      </c>
      <c r="Q167" s="33">
        <f t="shared" si="66"/>
        <v>0</v>
      </c>
      <c r="R167" s="33">
        <v>200000</v>
      </c>
      <c r="S167" s="32">
        <v>0</v>
      </c>
      <c r="T167" s="33">
        <f t="shared" si="67"/>
        <v>0</v>
      </c>
      <c r="U167" s="33">
        <v>200000</v>
      </c>
      <c r="V167" s="32">
        <v>0</v>
      </c>
      <c r="W167" s="33">
        <f t="shared" si="68"/>
        <v>0</v>
      </c>
    </row>
    <row r="168" spans="2:23">
      <c r="B168" s="32" t="s">
        <v>241</v>
      </c>
      <c r="C168" s="33">
        <v>162470</v>
      </c>
      <c r="D168" s="32">
        <v>0</v>
      </c>
      <c r="E168" s="33">
        <f t="shared" si="63"/>
        <v>0</v>
      </c>
      <c r="F168" s="33">
        <v>162470</v>
      </c>
      <c r="G168" s="32">
        <v>0</v>
      </c>
      <c r="H168" s="33">
        <f t="shared" si="64"/>
        <v>0</v>
      </c>
      <c r="I168" s="33">
        <v>162470</v>
      </c>
      <c r="J168" s="32">
        <v>0</v>
      </c>
      <c r="K168" s="33">
        <f t="shared" si="65"/>
        <v>0</v>
      </c>
      <c r="N168" s="32" t="s">
        <v>241</v>
      </c>
      <c r="O168" s="33">
        <v>162470</v>
      </c>
      <c r="P168" s="32">
        <v>0</v>
      </c>
      <c r="Q168" s="33">
        <f t="shared" si="66"/>
        <v>0</v>
      </c>
      <c r="R168" s="33">
        <v>162470</v>
      </c>
      <c r="S168" s="32">
        <v>0</v>
      </c>
      <c r="T168" s="33">
        <f t="shared" si="67"/>
        <v>0</v>
      </c>
      <c r="U168" s="33">
        <v>162470</v>
      </c>
      <c r="V168" s="32">
        <v>0</v>
      </c>
      <c r="W168" s="33">
        <f t="shared" si="68"/>
        <v>0</v>
      </c>
    </row>
    <row r="169" spans="2:23">
      <c r="B169" s="35"/>
      <c r="C169" s="35"/>
      <c r="D169" s="31" t="s">
        <v>48</v>
      </c>
      <c r="E169" s="36">
        <f>SUM(E160:E168)</f>
        <v>86265105.185185194</v>
      </c>
      <c r="F169" s="35"/>
      <c r="G169" s="31" t="s">
        <v>48</v>
      </c>
      <c r="H169" s="55">
        <f>SUM(H160:H168)</f>
        <v>56046892.592592597</v>
      </c>
      <c r="I169" s="35"/>
      <c r="J169" s="31" t="s">
        <v>48</v>
      </c>
      <c r="K169" s="36">
        <f>SUM(K160:K168)</f>
        <v>52712312.592592597</v>
      </c>
      <c r="N169" s="35"/>
      <c r="O169" s="35"/>
      <c r="P169" s="31" t="s">
        <v>48</v>
      </c>
      <c r="Q169" s="36">
        <f>SUM(Q160:Q168)</f>
        <v>86265105.185185194</v>
      </c>
      <c r="R169" s="35"/>
      <c r="S169" s="31" t="s">
        <v>48</v>
      </c>
      <c r="T169" s="55">
        <f>SUM(T160:T168)</f>
        <v>56046892.592592597</v>
      </c>
      <c r="U169" s="35"/>
      <c r="V169" s="31" t="s">
        <v>48</v>
      </c>
      <c r="W169" s="36">
        <f>SUM(W160:W168)</f>
        <v>52712312.592592597</v>
      </c>
    </row>
    <row r="171" spans="2:23">
      <c r="J171" s="49" t="s">
        <v>20</v>
      </c>
      <c r="K171" s="50">
        <f>(E155+H155+K155+E169+H169+K169)/(D146+G146+J146+D160+G160+J160)</f>
        <v>44077002.784482904</v>
      </c>
      <c r="V171" s="49" t="s">
        <v>20</v>
      </c>
      <c r="W171" s="50">
        <f>(Q155+T155+W155+Q169+T169+W169)/(P146+S146+V146+P160+S160+V160)</f>
        <v>44077002.784482904</v>
      </c>
    </row>
  </sheetData>
  <mergeCells count="91">
    <mergeCell ref="B158:B159"/>
    <mergeCell ref="N4:N5"/>
    <mergeCell ref="N19:N20"/>
    <mergeCell ref="N34:N35"/>
    <mergeCell ref="N50:N51"/>
    <mergeCell ref="N84:N85"/>
    <mergeCell ref="N99:N100"/>
    <mergeCell ref="N114:N115"/>
    <mergeCell ref="N129:N130"/>
    <mergeCell ref="N144:N145"/>
    <mergeCell ref="N158:N159"/>
    <mergeCell ref="B84:B85"/>
    <mergeCell ref="B99:B100"/>
    <mergeCell ref="B114:B115"/>
    <mergeCell ref="B129:B130"/>
    <mergeCell ref="B144:B145"/>
    <mergeCell ref="B4:B5"/>
    <mergeCell ref="B19:B20"/>
    <mergeCell ref="B34:B35"/>
    <mergeCell ref="B50:B51"/>
    <mergeCell ref="B66:B67"/>
    <mergeCell ref="U144:W144"/>
    <mergeCell ref="C158:E158"/>
    <mergeCell ref="F158:H158"/>
    <mergeCell ref="I158:K158"/>
    <mergeCell ref="O158:Q158"/>
    <mergeCell ref="R158:T158"/>
    <mergeCell ref="U158:W158"/>
    <mergeCell ref="C144:E144"/>
    <mergeCell ref="F144:H144"/>
    <mergeCell ref="I144:K144"/>
    <mergeCell ref="O144:Q144"/>
    <mergeCell ref="R144:T144"/>
    <mergeCell ref="U114:W114"/>
    <mergeCell ref="C129:E129"/>
    <mergeCell ref="F129:H129"/>
    <mergeCell ref="I129:K129"/>
    <mergeCell ref="O129:Q129"/>
    <mergeCell ref="R129:T129"/>
    <mergeCell ref="U129:W129"/>
    <mergeCell ref="C114:E114"/>
    <mergeCell ref="F114:H114"/>
    <mergeCell ref="I114:K114"/>
    <mergeCell ref="O114:Q114"/>
    <mergeCell ref="R114:T114"/>
    <mergeCell ref="U84:W84"/>
    <mergeCell ref="C99:E99"/>
    <mergeCell ref="F99:H99"/>
    <mergeCell ref="I99:K99"/>
    <mergeCell ref="O99:Q99"/>
    <mergeCell ref="R99:T99"/>
    <mergeCell ref="U99:W99"/>
    <mergeCell ref="C84:E84"/>
    <mergeCell ref="F84:H84"/>
    <mergeCell ref="I84:K84"/>
    <mergeCell ref="O84:Q84"/>
    <mergeCell ref="R84:T84"/>
    <mergeCell ref="V66:X66"/>
    <mergeCell ref="AA66:AC66"/>
    <mergeCell ref="AE66:AG66"/>
    <mergeCell ref="AJ66:AL66"/>
    <mergeCell ref="AM66:AO66"/>
    <mergeCell ref="C66:E66"/>
    <mergeCell ref="F66:H66"/>
    <mergeCell ref="I66:K66"/>
    <mergeCell ref="L66:N66"/>
    <mergeCell ref="O66:Q66"/>
    <mergeCell ref="U34:W34"/>
    <mergeCell ref="C50:E50"/>
    <mergeCell ref="F50:H50"/>
    <mergeCell ref="I50:K50"/>
    <mergeCell ref="O50:Q50"/>
    <mergeCell ref="R50:T50"/>
    <mergeCell ref="U50:W50"/>
    <mergeCell ref="C34:E34"/>
    <mergeCell ref="F34:H34"/>
    <mergeCell ref="I34:K34"/>
    <mergeCell ref="O34:Q34"/>
    <mergeCell ref="R34:T34"/>
    <mergeCell ref="U4:W4"/>
    <mergeCell ref="C19:E19"/>
    <mergeCell ref="F19:H19"/>
    <mergeCell ref="I19:K19"/>
    <mergeCell ref="O19:Q19"/>
    <mergeCell ref="R19:T19"/>
    <mergeCell ref="U19:W19"/>
    <mergeCell ref="C4:E4"/>
    <mergeCell ref="F4:H4"/>
    <mergeCell ref="I4:K4"/>
    <mergeCell ref="O4:Q4"/>
    <mergeCell ref="R4:T4"/>
  </mergeCells>
  <pageMargins left="0.7" right="0.7" top="0.75" bottom="0.75" header="0.3" footer="0.3"/>
  <pageSetup paperSize="9" scale="38" fitToHeight="0" orientation="landscape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J101"/>
  <sheetViews>
    <sheetView showGridLines="0" topLeftCell="G67" zoomScale="85" zoomScaleNormal="85" workbookViewId="0">
      <selection activeCell="N100" sqref="N100"/>
    </sheetView>
  </sheetViews>
  <sheetFormatPr defaultColWidth="9" defaultRowHeight="15.75"/>
  <cols>
    <col min="1" max="1" width="9" style="29"/>
    <col min="2" max="2" width="22.85546875" style="29" customWidth="1"/>
    <col min="3" max="3" width="14.5703125" style="29" customWidth="1"/>
    <col min="4" max="4" width="8.85546875" style="29" customWidth="1"/>
    <col min="5" max="5" width="15.7109375" style="29" customWidth="1"/>
    <col min="6" max="6" width="14.5703125" style="29" customWidth="1"/>
    <col min="7" max="7" width="9.5703125" style="29" customWidth="1"/>
    <col min="8" max="8" width="15.7109375" style="29" customWidth="1"/>
    <col min="9" max="9" width="14.5703125" style="29" customWidth="1"/>
    <col min="10" max="10" width="10" style="29" customWidth="1"/>
    <col min="11" max="12" width="15.7109375" style="29" customWidth="1"/>
    <col min="13" max="13" width="10.42578125" style="29" customWidth="1"/>
    <col min="14" max="18" width="15.7109375" style="29" customWidth="1"/>
    <col min="19" max="20" width="9" style="29"/>
    <col min="21" max="21" width="22.85546875" style="29" customWidth="1"/>
    <col min="22" max="22" width="14.5703125" style="29" customWidth="1"/>
    <col min="23" max="23" width="8.85546875" style="29" customWidth="1"/>
    <col min="24" max="24" width="15.7109375" style="29" customWidth="1"/>
    <col min="25" max="25" width="14.5703125" style="29" customWidth="1"/>
    <col min="26" max="26" width="9.140625" style="29" customWidth="1"/>
    <col min="27" max="27" width="18.7109375" style="29" customWidth="1"/>
    <col min="28" max="28" width="14.5703125" style="29" customWidth="1"/>
    <col min="29" max="29" width="9.85546875" style="29" customWidth="1"/>
    <col min="30" max="31" width="15.7109375" style="29" customWidth="1"/>
    <col min="32" max="32" width="9.140625" style="29" customWidth="1"/>
    <col min="33" max="33" width="15.7109375" style="29" customWidth="1"/>
    <col min="34" max="34" width="14.5703125" style="29" customWidth="1"/>
    <col min="35" max="35" width="9.85546875" style="29" customWidth="1"/>
    <col min="36" max="36" width="15.7109375" style="29" customWidth="1"/>
    <col min="37" max="16384" width="9" style="29"/>
  </cols>
  <sheetData>
    <row r="2" spans="2:30">
      <c r="B2" s="29" t="s">
        <v>33</v>
      </c>
    </row>
    <row r="3" spans="2:30">
      <c r="B3" s="2" t="s">
        <v>227</v>
      </c>
      <c r="C3" s="29" t="s">
        <v>248</v>
      </c>
      <c r="F3" s="29" t="s">
        <v>249</v>
      </c>
      <c r="I3" s="29" t="s">
        <v>248</v>
      </c>
      <c r="L3" s="29" t="s">
        <v>250</v>
      </c>
      <c r="U3" s="2" t="s">
        <v>230</v>
      </c>
    </row>
    <row r="4" spans="2:30">
      <c r="B4" s="340" t="s">
        <v>3</v>
      </c>
      <c r="C4" s="330" t="s">
        <v>10</v>
      </c>
      <c r="D4" s="331"/>
      <c r="E4" s="332"/>
      <c r="F4" s="330" t="s">
        <v>251</v>
      </c>
      <c r="G4" s="331"/>
      <c r="H4" s="332"/>
      <c r="I4" s="330" t="s">
        <v>17</v>
      </c>
      <c r="J4" s="331"/>
      <c r="K4" s="332"/>
      <c r="L4" s="330" t="s">
        <v>252</v>
      </c>
      <c r="M4" s="331"/>
      <c r="N4" s="332"/>
      <c r="O4" s="46"/>
      <c r="P4" s="46"/>
      <c r="Q4" s="46"/>
      <c r="R4" s="46"/>
      <c r="U4" s="340" t="s">
        <v>4</v>
      </c>
      <c r="V4" s="330" t="s">
        <v>10</v>
      </c>
      <c r="W4" s="331"/>
      <c r="X4" s="332"/>
      <c r="Y4" s="330" t="s">
        <v>15</v>
      </c>
      <c r="Z4" s="331"/>
      <c r="AA4" s="332"/>
      <c r="AB4" s="330" t="s">
        <v>17</v>
      </c>
      <c r="AC4" s="331"/>
      <c r="AD4" s="332"/>
    </row>
    <row r="5" spans="2:30">
      <c r="B5" s="341"/>
      <c r="C5" s="30" t="s">
        <v>180</v>
      </c>
      <c r="D5" s="31" t="s">
        <v>41</v>
      </c>
      <c r="E5" s="31" t="s">
        <v>44</v>
      </c>
      <c r="F5" s="30" t="s">
        <v>180</v>
      </c>
      <c r="G5" s="31" t="s">
        <v>41</v>
      </c>
      <c r="H5" s="31" t="s">
        <v>44</v>
      </c>
      <c r="I5" s="30" t="s">
        <v>180</v>
      </c>
      <c r="J5" s="31" t="s">
        <v>41</v>
      </c>
      <c r="K5" s="31" t="s">
        <v>44</v>
      </c>
      <c r="L5" s="30" t="s">
        <v>180</v>
      </c>
      <c r="M5" s="31" t="s">
        <v>41</v>
      </c>
      <c r="N5" s="31" t="s">
        <v>44</v>
      </c>
      <c r="O5" s="46"/>
      <c r="P5" s="46"/>
      <c r="Q5" s="46"/>
      <c r="R5" s="46"/>
      <c r="U5" s="341"/>
      <c r="V5" s="30" t="s">
        <v>180</v>
      </c>
      <c r="W5" s="31" t="s">
        <v>41</v>
      </c>
      <c r="X5" s="31" t="s">
        <v>44</v>
      </c>
      <c r="Y5" s="30" t="s">
        <v>180</v>
      </c>
      <c r="Z5" s="31" t="s">
        <v>41</v>
      </c>
      <c r="AA5" s="31" t="s">
        <v>44</v>
      </c>
      <c r="AB5" s="30" t="s">
        <v>180</v>
      </c>
      <c r="AC5" s="31" t="s">
        <v>41</v>
      </c>
      <c r="AD5" s="31" t="s">
        <v>44</v>
      </c>
    </row>
    <row r="6" spans="2:30">
      <c r="B6" s="32" t="s">
        <v>233</v>
      </c>
      <c r="C6" s="33">
        <v>30000000</v>
      </c>
      <c r="D6" s="32">
        <v>11</v>
      </c>
      <c r="E6" s="33">
        <f t="shared" ref="E6:E15" si="0">+C6*D6</f>
        <v>330000000</v>
      </c>
      <c r="F6" s="33">
        <v>30000000</v>
      </c>
      <c r="G6" s="32">
        <v>7</v>
      </c>
      <c r="H6" s="33">
        <f t="shared" ref="H6:H15" si="1">+F6*G6</f>
        <v>210000000</v>
      </c>
      <c r="I6" s="33">
        <v>30000000</v>
      </c>
      <c r="J6" s="32">
        <v>7</v>
      </c>
      <c r="K6" s="33">
        <f t="shared" ref="K6:K15" si="2">+I6*J6</f>
        <v>210000000</v>
      </c>
      <c r="L6" s="33">
        <v>30000000</v>
      </c>
      <c r="M6" s="32">
        <v>1</v>
      </c>
      <c r="N6" s="33">
        <f t="shared" ref="N6:N15" si="3">+L6*M6</f>
        <v>30000000</v>
      </c>
      <c r="O6" s="28"/>
      <c r="P6" s="28"/>
      <c r="Q6" s="28"/>
      <c r="R6" s="28"/>
      <c r="U6" s="32" t="s">
        <v>233</v>
      </c>
      <c r="V6" s="33"/>
      <c r="W6" s="32"/>
      <c r="X6" s="33">
        <f t="shared" ref="X6:X15" si="4">+V6*W6</f>
        <v>0</v>
      </c>
      <c r="Y6" s="33"/>
      <c r="Z6" s="32"/>
      <c r="AA6" s="33">
        <f t="shared" ref="AA6:AA15" si="5">+Y6*Z6</f>
        <v>0</v>
      </c>
      <c r="AB6" s="33"/>
      <c r="AC6" s="32"/>
      <c r="AD6" s="33">
        <f t="shared" ref="AD6:AD15" si="6">+AB6*AC6</f>
        <v>0</v>
      </c>
    </row>
    <row r="7" spans="2:30">
      <c r="B7" s="32" t="s">
        <v>234</v>
      </c>
      <c r="C7" s="33">
        <v>0</v>
      </c>
      <c r="D7" s="32">
        <v>11</v>
      </c>
      <c r="E7" s="33">
        <f t="shared" si="0"/>
        <v>0</v>
      </c>
      <c r="F7" s="33">
        <v>0</v>
      </c>
      <c r="G7" s="32">
        <v>7</v>
      </c>
      <c r="H7" s="33">
        <f t="shared" si="1"/>
        <v>0</v>
      </c>
      <c r="I7" s="33">
        <v>0</v>
      </c>
      <c r="J7" s="32">
        <v>7</v>
      </c>
      <c r="K7" s="33">
        <f t="shared" si="2"/>
        <v>0</v>
      </c>
      <c r="L7" s="33">
        <v>0</v>
      </c>
      <c r="M7" s="32">
        <v>1</v>
      </c>
      <c r="N7" s="33">
        <f t="shared" si="3"/>
        <v>0</v>
      </c>
      <c r="O7" s="28"/>
      <c r="P7" s="28"/>
      <c r="Q7" s="28"/>
      <c r="R7" s="28"/>
      <c r="U7" s="32" t="s">
        <v>234</v>
      </c>
      <c r="V7" s="33"/>
      <c r="W7" s="32"/>
      <c r="X7" s="33">
        <f t="shared" si="4"/>
        <v>0</v>
      </c>
      <c r="Y7" s="33"/>
      <c r="Z7" s="32"/>
      <c r="AA7" s="33">
        <f t="shared" si="5"/>
        <v>0</v>
      </c>
      <c r="AB7" s="33"/>
      <c r="AC7" s="32"/>
      <c r="AD7" s="33">
        <f t="shared" si="6"/>
        <v>0</v>
      </c>
    </row>
    <row r="8" spans="2:30">
      <c r="B8" s="32" t="s">
        <v>235</v>
      </c>
      <c r="C8" s="33">
        <v>6000</v>
      </c>
      <c r="D8" s="32">
        <v>0</v>
      </c>
      <c r="E8" s="33">
        <f t="shared" si="0"/>
        <v>0</v>
      </c>
      <c r="F8" s="33">
        <v>6000</v>
      </c>
      <c r="G8" s="32">
        <v>0</v>
      </c>
      <c r="H8" s="33">
        <f t="shared" si="1"/>
        <v>0</v>
      </c>
      <c r="I8" s="33">
        <v>6000</v>
      </c>
      <c r="J8" s="32">
        <v>0</v>
      </c>
      <c r="K8" s="33">
        <f t="shared" si="2"/>
        <v>0</v>
      </c>
      <c r="L8" s="33">
        <v>6000</v>
      </c>
      <c r="M8" s="32">
        <v>0</v>
      </c>
      <c r="N8" s="33">
        <f t="shared" si="3"/>
        <v>0</v>
      </c>
      <c r="O8" s="28"/>
      <c r="P8" s="28"/>
      <c r="Q8" s="28"/>
      <c r="R8" s="28"/>
      <c r="U8" s="32" t="s">
        <v>235</v>
      </c>
      <c r="V8" s="33"/>
      <c r="W8" s="32"/>
      <c r="X8" s="33">
        <f t="shared" si="4"/>
        <v>0</v>
      </c>
      <c r="Y8" s="33"/>
      <c r="Z8" s="32"/>
      <c r="AA8" s="33">
        <f t="shared" si="5"/>
        <v>0</v>
      </c>
      <c r="AB8" s="33"/>
      <c r="AC8" s="32"/>
      <c r="AD8" s="33">
        <f t="shared" si="6"/>
        <v>0</v>
      </c>
    </row>
    <row r="9" spans="2:30">
      <c r="B9" s="32" t="s">
        <v>236</v>
      </c>
      <c r="C9" s="33">
        <v>50000</v>
      </c>
      <c r="D9" s="32">
        <v>177</v>
      </c>
      <c r="E9" s="33">
        <f t="shared" si="0"/>
        <v>8850000</v>
      </c>
      <c r="F9" s="33">
        <v>50000</v>
      </c>
      <c r="G9" s="32">
        <v>218</v>
      </c>
      <c r="H9" s="33">
        <f t="shared" si="1"/>
        <v>10900000</v>
      </c>
      <c r="I9" s="33">
        <v>50000</v>
      </c>
      <c r="J9" s="32">
        <v>137</v>
      </c>
      <c r="K9" s="33">
        <f t="shared" si="2"/>
        <v>6850000</v>
      </c>
      <c r="L9" s="33">
        <v>50000</v>
      </c>
      <c r="M9" s="47">
        <v>62</v>
      </c>
      <c r="N9" s="33">
        <f t="shared" si="3"/>
        <v>3100000</v>
      </c>
      <c r="O9" s="28"/>
      <c r="P9" s="28"/>
      <c r="Q9" s="28"/>
      <c r="R9" s="28"/>
      <c r="U9" s="32" t="s">
        <v>236</v>
      </c>
      <c r="V9" s="33"/>
      <c r="W9" s="32"/>
      <c r="X9" s="33">
        <f t="shared" si="4"/>
        <v>0</v>
      </c>
      <c r="Y9" s="33"/>
      <c r="Z9" s="32"/>
      <c r="AA9" s="33">
        <f t="shared" si="5"/>
        <v>0</v>
      </c>
      <c r="AB9" s="33"/>
      <c r="AC9" s="32"/>
      <c r="AD9" s="33">
        <f t="shared" si="6"/>
        <v>0</v>
      </c>
    </row>
    <row r="10" spans="2:30">
      <c r="B10" s="32" t="s">
        <v>237</v>
      </c>
      <c r="C10" s="33">
        <v>1000000</v>
      </c>
      <c r="D10" s="34">
        <v>3</v>
      </c>
      <c r="E10" s="33">
        <f t="shared" si="0"/>
        <v>3000000</v>
      </c>
      <c r="F10" s="33">
        <v>1000000</v>
      </c>
      <c r="G10" s="32">
        <v>1</v>
      </c>
      <c r="H10" s="33">
        <f t="shared" si="1"/>
        <v>1000000</v>
      </c>
      <c r="I10" s="33">
        <v>1000000</v>
      </c>
      <c r="J10" s="32">
        <v>2</v>
      </c>
      <c r="K10" s="33">
        <f t="shared" si="2"/>
        <v>2000000</v>
      </c>
      <c r="L10" s="33">
        <v>1000000</v>
      </c>
      <c r="M10" s="32">
        <v>3</v>
      </c>
      <c r="N10" s="33">
        <f t="shared" si="3"/>
        <v>3000000</v>
      </c>
      <c r="O10" s="28"/>
      <c r="P10" s="28"/>
      <c r="Q10" s="28"/>
      <c r="R10" s="28"/>
      <c r="U10" s="32" t="s">
        <v>237</v>
      </c>
      <c r="V10" s="33"/>
      <c r="W10" s="32"/>
      <c r="X10" s="33">
        <f t="shared" si="4"/>
        <v>0</v>
      </c>
      <c r="Y10" s="33"/>
      <c r="Z10" s="32"/>
      <c r="AA10" s="33">
        <f t="shared" si="5"/>
        <v>0</v>
      </c>
      <c r="AB10" s="33"/>
      <c r="AC10" s="32"/>
      <c r="AD10" s="33">
        <f t="shared" si="6"/>
        <v>0</v>
      </c>
    </row>
    <row r="11" spans="2:30">
      <c r="B11" s="32" t="s">
        <v>238</v>
      </c>
      <c r="C11" s="33">
        <v>600000</v>
      </c>
      <c r="D11" s="32">
        <v>0</v>
      </c>
      <c r="E11" s="33">
        <f t="shared" si="0"/>
        <v>0</v>
      </c>
      <c r="F11" s="33">
        <v>600000</v>
      </c>
      <c r="G11" s="32">
        <v>0</v>
      </c>
      <c r="H11" s="33">
        <f t="shared" si="1"/>
        <v>0</v>
      </c>
      <c r="I11" s="33">
        <v>600000</v>
      </c>
      <c r="J11" s="32">
        <v>0</v>
      </c>
      <c r="K11" s="33">
        <f t="shared" si="2"/>
        <v>0</v>
      </c>
      <c r="L11" s="33">
        <v>600000</v>
      </c>
      <c r="M11" s="32">
        <v>0</v>
      </c>
      <c r="N11" s="33">
        <f t="shared" si="3"/>
        <v>0</v>
      </c>
      <c r="O11" s="28"/>
      <c r="P11" s="28"/>
      <c r="Q11" s="28"/>
      <c r="R11" s="28"/>
      <c r="U11" s="32" t="s">
        <v>238</v>
      </c>
      <c r="V11" s="33"/>
      <c r="W11" s="32"/>
      <c r="X11" s="33">
        <f t="shared" si="4"/>
        <v>0</v>
      </c>
      <c r="Y11" s="33"/>
      <c r="Z11" s="32"/>
      <c r="AA11" s="33">
        <f t="shared" si="5"/>
        <v>0</v>
      </c>
      <c r="AB11" s="33"/>
      <c r="AC11" s="32"/>
      <c r="AD11" s="33">
        <f t="shared" si="6"/>
        <v>0</v>
      </c>
    </row>
    <row r="12" spans="2:30">
      <c r="B12" s="32" t="s">
        <v>239</v>
      </c>
      <c r="C12" s="33">
        <v>420000</v>
      </c>
      <c r="D12" s="32">
        <v>0</v>
      </c>
      <c r="E12" s="33">
        <f t="shared" si="0"/>
        <v>0</v>
      </c>
      <c r="F12" s="33">
        <v>420000</v>
      </c>
      <c r="G12" s="32">
        <v>0</v>
      </c>
      <c r="H12" s="33">
        <f t="shared" si="1"/>
        <v>0</v>
      </c>
      <c r="I12" s="33">
        <v>420000</v>
      </c>
      <c r="J12" s="32">
        <v>0</v>
      </c>
      <c r="K12" s="33">
        <f t="shared" si="2"/>
        <v>0</v>
      </c>
      <c r="L12" s="33">
        <v>420000</v>
      </c>
      <c r="M12" s="32">
        <v>0</v>
      </c>
      <c r="N12" s="33">
        <f t="shared" si="3"/>
        <v>0</v>
      </c>
      <c r="O12" s="28"/>
      <c r="P12" s="28"/>
      <c r="Q12" s="28"/>
      <c r="R12" s="28"/>
      <c r="U12" s="32" t="s">
        <v>239</v>
      </c>
      <c r="V12" s="33"/>
      <c r="W12" s="32"/>
      <c r="X12" s="33">
        <f t="shared" si="4"/>
        <v>0</v>
      </c>
      <c r="Y12" s="33"/>
      <c r="Z12" s="32"/>
      <c r="AA12" s="33">
        <f t="shared" si="5"/>
        <v>0</v>
      </c>
      <c r="AB12" s="33"/>
      <c r="AC12" s="32"/>
      <c r="AD12" s="33">
        <f t="shared" si="6"/>
        <v>0</v>
      </c>
    </row>
    <row r="13" spans="2:30">
      <c r="B13" s="32" t="s">
        <v>240</v>
      </c>
      <c r="C13" s="33">
        <v>315000</v>
      </c>
      <c r="D13" s="32">
        <v>0</v>
      </c>
      <c r="E13" s="33">
        <f t="shared" si="0"/>
        <v>0</v>
      </c>
      <c r="F13" s="33">
        <v>315000</v>
      </c>
      <c r="G13" s="32">
        <v>0</v>
      </c>
      <c r="H13" s="33">
        <f t="shared" si="1"/>
        <v>0</v>
      </c>
      <c r="I13" s="33">
        <v>315000</v>
      </c>
      <c r="J13" s="32">
        <v>0</v>
      </c>
      <c r="K13" s="33">
        <f t="shared" si="2"/>
        <v>0</v>
      </c>
      <c r="L13" s="33">
        <v>315000</v>
      </c>
      <c r="M13" s="32">
        <v>0</v>
      </c>
      <c r="N13" s="33">
        <f t="shared" si="3"/>
        <v>0</v>
      </c>
      <c r="O13" s="28"/>
      <c r="P13" s="28"/>
      <c r="Q13" s="28"/>
      <c r="R13" s="28"/>
      <c r="U13" s="32" t="s">
        <v>240</v>
      </c>
      <c r="V13" s="33"/>
      <c r="W13" s="32"/>
      <c r="X13" s="33">
        <f t="shared" si="4"/>
        <v>0</v>
      </c>
      <c r="Y13" s="33"/>
      <c r="Z13" s="32"/>
      <c r="AA13" s="33">
        <f t="shared" si="5"/>
        <v>0</v>
      </c>
      <c r="AB13" s="33"/>
      <c r="AC13" s="32"/>
      <c r="AD13" s="33">
        <f t="shared" si="6"/>
        <v>0</v>
      </c>
    </row>
    <row r="14" spans="2:30">
      <c r="B14" s="32" t="s">
        <v>183</v>
      </c>
      <c r="C14" s="33">
        <v>5500</v>
      </c>
      <c r="D14" s="32">
        <v>3</v>
      </c>
      <c r="E14" s="33">
        <f t="shared" si="0"/>
        <v>16500</v>
      </c>
      <c r="F14" s="33">
        <v>5500</v>
      </c>
      <c r="G14" s="33">
        <v>308</v>
      </c>
      <c r="H14" s="33">
        <f t="shared" si="1"/>
        <v>1694000</v>
      </c>
      <c r="I14" s="33">
        <v>5500</v>
      </c>
      <c r="J14" s="33">
        <v>401</v>
      </c>
      <c r="K14" s="33">
        <f t="shared" si="2"/>
        <v>2205500</v>
      </c>
      <c r="L14" s="33">
        <v>5500</v>
      </c>
      <c r="M14" s="33">
        <v>1614</v>
      </c>
      <c r="N14" s="33">
        <f t="shared" si="3"/>
        <v>8877000</v>
      </c>
      <c r="O14" s="28"/>
      <c r="P14" s="28"/>
      <c r="Q14" s="28"/>
      <c r="R14" s="28"/>
      <c r="U14" s="32"/>
      <c r="V14" s="33"/>
      <c r="W14" s="32"/>
      <c r="X14" s="33"/>
      <c r="Y14" s="33"/>
      <c r="Z14" s="32"/>
      <c r="AA14" s="33"/>
      <c r="AB14" s="33"/>
      <c r="AC14" s="32"/>
      <c r="AD14" s="33"/>
    </row>
    <row r="15" spans="2:30">
      <c r="B15" s="32" t="s">
        <v>241</v>
      </c>
      <c r="C15" s="33"/>
      <c r="D15" s="32">
        <v>0</v>
      </c>
      <c r="E15" s="33">
        <f t="shared" si="0"/>
        <v>0</v>
      </c>
      <c r="F15" s="33"/>
      <c r="G15" s="32">
        <v>0</v>
      </c>
      <c r="H15" s="33">
        <f t="shared" si="1"/>
        <v>0</v>
      </c>
      <c r="I15" s="33"/>
      <c r="J15" s="32">
        <v>0</v>
      </c>
      <c r="K15" s="33">
        <f t="shared" si="2"/>
        <v>0</v>
      </c>
      <c r="L15" s="33"/>
      <c r="M15" s="32">
        <v>0</v>
      </c>
      <c r="N15" s="33">
        <f t="shared" si="3"/>
        <v>0</v>
      </c>
      <c r="O15" s="28"/>
      <c r="P15" s="28"/>
      <c r="Q15" s="28"/>
      <c r="R15" s="28"/>
      <c r="U15" s="32" t="s">
        <v>241</v>
      </c>
      <c r="V15" s="33"/>
      <c r="W15" s="32"/>
      <c r="X15" s="33">
        <f t="shared" si="4"/>
        <v>0</v>
      </c>
      <c r="Y15" s="33"/>
      <c r="Z15" s="32"/>
      <c r="AA15" s="33">
        <f t="shared" si="5"/>
        <v>0</v>
      </c>
      <c r="AB15" s="33"/>
      <c r="AC15" s="32"/>
      <c r="AD15" s="33">
        <f t="shared" si="6"/>
        <v>0</v>
      </c>
    </row>
    <row r="16" spans="2:30" s="2" customFormat="1">
      <c r="B16" s="35"/>
      <c r="C16" s="35"/>
      <c r="D16" s="31" t="s">
        <v>48</v>
      </c>
      <c r="E16" s="36">
        <f>SUM(E6:E15)</f>
        <v>341866500</v>
      </c>
      <c r="F16" s="35"/>
      <c r="G16" s="31" t="s">
        <v>48</v>
      </c>
      <c r="H16" s="36">
        <f>SUM(H6:H15)</f>
        <v>223594000</v>
      </c>
      <c r="I16" s="35"/>
      <c r="J16" s="31" t="s">
        <v>48</v>
      </c>
      <c r="K16" s="36">
        <f>SUM(K6:K15)</f>
        <v>221055500</v>
      </c>
      <c r="L16" s="35"/>
      <c r="M16" s="31" t="s">
        <v>48</v>
      </c>
      <c r="N16" s="36">
        <f>SUM(N6:N15)</f>
        <v>44977000</v>
      </c>
      <c r="O16" s="48"/>
      <c r="P16" s="48"/>
      <c r="Q16" s="48"/>
      <c r="R16" s="48"/>
      <c r="U16" s="35"/>
      <c r="V16" s="35"/>
      <c r="W16" s="31" t="s">
        <v>48</v>
      </c>
      <c r="X16" s="36">
        <f>SUM(X6:X15)</f>
        <v>0</v>
      </c>
      <c r="Y16" s="35"/>
      <c r="Z16" s="31" t="s">
        <v>48</v>
      </c>
      <c r="AA16" s="51">
        <f>SUM(AA6:AA15)</f>
        <v>0</v>
      </c>
      <c r="AB16" s="35"/>
      <c r="AC16" s="31" t="s">
        <v>48</v>
      </c>
      <c r="AD16" s="36">
        <f>SUM(AD6:AD15)</f>
        <v>0</v>
      </c>
    </row>
    <row r="17" spans="2:30">
      <c r="E17" s="37"/>
      <c r="F17" s="38"/>
      <c r="G17" s="38"/>
      <c r="H17" s="37"/>
      <c r="K17" s="49"/>
      <c r="L17" s="49"/>
      <c r="M17" s="49"/>
      <c r="N17" s="49"/>
      <c r="O17" s="49"/>
      <c r="P17" s="49"/>
      <c r="Q17" s="49"/>
      <c r="R17" s="49"/>
      <c r="AD17" s="49"/>
    </row>
    <row r="18" spans="2:30" s="28" customFormat="1">
      <c r="E18" s="28">
        <f>+E16/D6</f>
        <v>31078772.727272727</v>
      </c>
      <c r="H18" s="28">
        <f>+H16/G6</f>
        <v>31942000</v>
      </c>
      <c r="K18" s="28">
        <f>+K16/J6</f>
        <v>31579357.142857142</v>
      </c>
      <c r="L18" s="50"/>
      <c r="M18" s="50"/>
      <c r="N18" s="28">
        <f>+N16/M6</f>
        <v>44977000</v>
      </c>
      <c r="AD18" s="50"/>
    </row>
    <row r="19" spans="2:30" hidden="1">
      <c r="B19" s="39" t="s">
        <v>253</v>
      </c>
      <c r="C19" s="29" t="s">
        <v>249</v>
      </c>
      <c r="F19" s="29" t="s">
        <v>254</v>
      </c>
      <c r="I19" s="29" t="s">
        <v>254</v>
      </c>
      <c r="K19" s="49"/>
      <c r="L19" s="29" t="s">
        <v>254</v>
      </c>
      <c r="M19" s="49"/>
      <c r="N19" s="49"/>
      <c r="O19" s="49"/>
      <c r="P19" s="49"/>
      <c r="Q19" s="49"/>
      <c r="R19" s="49"/>
      <c r="AD19" s="49"/>
    </row>
    <row r="20" spans="2:30" hidden="1">
      <c r="B20" s="340" t="s">
        <v>4</v>
      </c>
      <c r="C20" s="330" t="s">
        <v>255</v>
      </c>
      <c r="D20" s="331"/>
      <c r="E20" s="332"/>
      <c r="F20" s="330" t="s">
        <v>256</v>
      </c>
      <c r="G20" s="331"/>
      <c r="H20" s="332"/>
      <c r="I20" s="330" t="s">
        <v>342</v>
      </c>
      <c r="J20" s="331"/>
      <c r="K20" s="332"/>
      <c r="L20" s="330" t="s">
        <v>343</v>
      </c>
      <c r="M20" s="331"/>
      <c r="N20" s="332"/>
      <c r="O20" s="46"/>
      <c r="P20" s="46"/>
      <c r="Q20" s="46"/>
      <c r="R20" s="46"/>
      <c r="U20" s="340" t="s">
        <v>4</v>
      </c>
      <c r="V20" s="330" t="s">
        <v>10</v>
      </c>
      <c r="W20" s="331"/>
      <c r="X20" s="332"/>
      <c r="Y20" s="330" t="s">
        <v>15</v>
      </c>
      <c r="Z20" s="331"/>
      <c r="AA20" s="332"/>
      <c r="AB20" s="330" t="s">
        <v>17</v>
      </c>
      <c r="AC20" s="331"/>
      <c r="AD20" s="332"/>
    </row>
    <row r="21" spans="2:30" hidden="1">
      <c r="B21" s="341"/>
      <c r="C21" s="30" t="s">
        <v>180</v>
      </c>
      <c r="D21" s="31" t="s">
        <v>41</v>
      </c>
      <c r="E21" s="31" t="s">
        <v>44</v>
      </c>
      <c r="F21" s="30" t="s">
        <v>180</v>
      </c>
      <c r="G21" s="31" t="s">
        <v>41</v>
      </c>
      <c r="H21" s="31" t="s">
        <v>44</v>
      </c>
      <c r="I21" s="30" t="s">
        <v>180</v>
      </c>
      <c r="J21" s="31" t="s">
        <v>41</v>
      </c>
      <c r="K21" s="31" t="s">
        <v>44</v>
      </c>
      <c r="L21" s="30" t="s">
        <v>180</v>
      </c>
      <c r="M21" s="31" t="s">
        <v>41</v>
      </c>
      <c r="N21" s="31" t="s">
        <v>44</v>
      </c>
      <c r="O21" s="46"/>
      <c r="P21" s="46"/>
      <c r="Q21" s="46"/>
      <c r="R21" s="46"/>
      <c r="U21" s="341"/>
      <c r="V21" s="30" t="s">
        <v>180</v>
      </c>
      <c r="W21" s="31" t="s">
        <v>41</v>
      </c>
      <c r="X21" s="31" t="s">
        <v>44</v>
      </c>
      <c r="Y21" s="30" t="s">
        <v>180</v>
      </c>
      <c r="Z21" s="31" t="s">
        <v>41</v>
      </c>
      <c r="AA21" s="31" t="s">
        <v>44</v>
      </c>
      <c r="AB21" s="30" t="s">
        <v>180</v>
      </c>
      <c r="AC21" s="31" t="s">
        <v>41</v>
      </c>
      <c r="AD21" s="31" t="s">
        <v>44</v>
      </c>
    </row>
    <row r="22" spans="2:30" hidden="1">
      <c r="B22" s="32" t="s">
        <v>233</v>
      </c>
      <c r="C22" s="33">
        <v>31730000</v>
      </c>
      <c r="D22" s="32">
        <v>1</v>
      </c>
      <c r="E22" s="33">
        <f t="shared" ref="E22:E31" si="7">+C22*D22</f>
        <v>31730000</v>
      </c>
      <c r="F22" s="33">
        <v>24507778</v>
      </c>
      <c r="G22" s="32">
        <v>1</v>
      </c>
      <c r="H22" s="33">
        <f t="shared" ref="H22:H31" si="8">+F22*G22</f>
        <v>24507778</v>
      </c>
      <c r="I22" s="33">
        <v>26000000</v>
      </c>
      <c r="J22" s="32">
        <v>1</v>
      </c>
      <c r="K22" s="33">
        <f t="shared" ref="K22:K31" si="9">+I22*J22</f>
        <v>26000000</v>
      </c>
      <c r="L22" s="33">
        <v>28376848</v>
      </c>
      <c r="M22" s="32">
        <v>1</v>
      </c>
      <c r="N22" s="33">
        <f t="shared" ref="N22:N29" si="10">+L22*M22</f>
        <v>28376848</v>
      </c>
      <c r="O22" s="28"/>
      <c r="P22" s="28"/>
      <c r="Q22" s="28"/>
      <c r="R22" s="28"/>
      <c r="U22" s="32" t="s">
        <v>233</v>
      </c>
      <c r="V22" s="33">
        <v>32657000</v>
      </c>
      <c r="W22" s="32">
        <v>1</v>
      </c>
      <c r="X22" s="33">
        <f t="shared" ref="X22:X31" si="11">+V22*W22</f>
        <v>32657000</v>
      </c>
      <c r="Y22" s="33">
        <v>33137000</v>
      </c>
      <c r="Z22" s="32">
        <v>1</v>
      </c>
      <c r="AA22" s="33">
        <f t="shared" ref="AA22:AA31" si="12">+Y22*Z22</f>
        <v>33137000</v>
      </c>
      <c r="AB22" s="33">
        <v>33042857.142857101</v>
      </c>
      <c r="AC22" s="32">
        <v>1</v>
      </c>
      <c r="AD22" s="33">
        <f t="shared" ref="AD22:AD31" si="13">+AB22*AC22</f>
        <v>33042857.142857101</v>
      </c>
    </row>
    <row r="23" spans="2:30" hidden="1">
      <c r="B23" s="32" t="s">
        <v>234</v>
      </c>
      <c r="C23" s="33">
        <v>10382986</v>
      </c>
      <c r="D23" s="32">
        <v>1</v>
      </c>
      <c r="E23" s="33">
        <f t="shared" si="7"/>
        <v>10382986</v>
      </c>
      <c r="F23" s="33">
        <v>8712660</v>
      </c>
      <c r="G23" s="32">
        <v>1</v>
      </c>
      <c r="H23" s="33">
        <f t="shared" si="8"/>
        <v>8712660</v>
      </c>
      <c r="I23" s="33">
        <v>10129080</v>
      </c>
      <c r="J23" s="32">
        <v>1</v>
      </c>
      <c r="K23" s="33">
        <f t="shared" si="9"/>
        <v>10129080</v>
      </c>
      <c r="L23" s="33">
        <v>8316630</v>
      </c>
      <c r="M23" s="32">
        <v>1</v>
      </c>
      <c r="N23" s="33">
        <f t="shared" si="10"/>
        <v>8316630</v>
      </c>
      <c r="O23" s="28"/>
      <c r="P23" s="28"/>
      <c r="Q23" s="28"/>
      <c r="R23" s="28"/>
      <c r="U23" s="32" t="s">
        <v>234</v>
      </c>
      <c r="V23" s="33">
        <v>7663000</v>
      </c>
      <c r="W23" s="32">
        <v>1</v>
      </c>
      <c r="X23" s="33">
        <f t="shared" si="11"/>
        <v>7663000</v>
      </c>
      <c r="Y23" s="33">
        <v>10297000</v>
      </c>
      <c r="Z23" s="32">
        <v>1</v>
      </c>
      <c r="AA23" s="33">
        <f t="shared" si="12"/>
        <v>10297000</v>
      </c>
      <c r="AB23" s="33">
        <v>10297000</v>
      </c>
      <c r="AC23" s="32">
        <v>1</v>
      </c>
      <c r="AD23" s="33">
        <f t="shared" si="13"/>
        <v>10297000</v>
      </c>
    </row>
    <row r="24" spans="2:30" hidden="1">
      <c r="B24" s="32" t="s">
        <v>235</v>
      </c>
      <c r="C24" s="33">
        <v>6200</v>
      </c>
      <c r="D24" s="32">
        <v>0</v>
      </c>
      <c r="E24" s="33">
        <f t="shared" si="7"/>
        <v>0</v>
      </c>
      <c r="F24" s="33">
        <v>6000</v>
      </c>
      <c r="G24" s="32">
        <v>0</v>
      </c>
      <c r="H24" s="33">
        <f t="shared" si="8"/>
        <v>0</v>
      </c>
      <c r="I24" s="33">
        <v>6500</v>
      </c>
      <c r="J24" s="32">
        <v>0</v>
      </c>
      <c r="K24" s="33">
        <f t="shared" si="9"/>
        <v>0</v>
      </c>
      <c r="L24" s="33">
        <v>6500</v>
      </c>
      <c r="M24" s="32">
        <v>0</v>
      </c>
      <c r="N24" s="33">
        <f t="shared" si="10"/>
        <v>0</v>
      </c>
      <c r="O24" s="28"/>
      <c r="P24" s="28"/>
      <c r="Q24" s="28"/>
      <c r="R24" s="28"/>
      <c r="U24" s="32" t="s">
        <v>235</v>
      </c>
      <c r="V24" s="33">
        <v>3800</v>
      </c>
      <c r="W24" s="32">
        <v>0</v>
      </c>
      <c r="X24" s="33">
        <f t="shared" si="11"/>
        <v>0</v>
      </c>
      <c r="Y24" s="33">
        <v>3800</v>
      </c>
      <c r="Z24" s="32"/>
      <c r="AA24" s="33">
        <f t="shared" si="12"/>
        <v>0</v>
      </c>
      <c r="AB24" s="33">
        <v>3800</v>
      </c>
      <c r="AC24" s="32">
        <v>0</v>
      </c>
      <c r="AD24" s="33">
        <f t="shared" si="13"/>
        <v>0</v>
      </c>
    </row>
    <row r="25" spans="2:30" hidden="1">
      <c r="B25" s="32" t="s">
        <v>236</v>
      </c>
      <c r="C25" s="33">
        <v>80300</v>
      </c>
      <c r="D25" s="32">
        <v>25</v>
      </c>
      <c r="E25" s="33">
        <f t="shared" si="7"/>
        <v>2007500</v>
      </c>
      <c r="F25" s="33">
        <v>60000</v>
      </c>
      <c r="G25" s="32">
        <v>25</v>
      </c>
      <c r="H25" s="33">
        <f t="shared" si="8"/>
        <v>1500000</v>
      </c>
      <c r="I25" s="33">
        <v>70000</v>
      </c>
      <c r="J25" s="32">
        <v>25</v>
      </c>
      <c r="K25" s="33">
        <f t="shared" si="9"/>
        <v>1750000</v>
      </c>
      <c r="L25" s="33">
        <v>55000</v>
      </c>
      <c r="M25" s="32">
        <v>25</v>
      </c>
      <c r="N25" s="33">
        <f t="shared" si="10"/>
        <v>1375000</v>
      </c>
      <c r="O25" s="28"/>
      <c r="P25" s="28"/>
      <c r="Q25" s="28"/>
      <c r="R25" s="28"/>
      <c r="U25" s="32" t="s">
        <v>236</v>
      </c>
      <c r="V25" s="33">
        <v>80300</v>
      </c>
      <c r="W25" s="32">
        <v>16</v>
      </c>
      <c r="X25" s="33">
        <f t="shared" si="11"/>
        <v>1284800</v>
      </c>
      <c r="Y25" s="33">
        <v>80300</v>
      </c>
      <c r="Z25" s="32">
        <v>35</v>
      </c>
      <c r="AA25" s="33">
        <f t="shared" si="12"/>
        <v>2810500</v>
      </c>
      <c r="AB25" s="33">
        <v>80300</v>
      </c>
      <c r="AC25" s="32">
        <v>20</v>
      </c>
      <c r="AD25" s="33">
        <f t="shared" si="13"/>
        <v>1606000</v>
      </c>
    </row>
    <row r="26" spans="2:30" hidden="1">
      <c r="B26" s="32" t="s">
        <v>237</v>
      </c>
      <c r="C26" s="33">
        <v>1030000</v>
      </c>
      <c r="D26" s="32">
        <v>0.5</v>
      </c>
      <c r="E26" s="33">
        <f t="shared" si="7"/>
        <v>515000</v>
      </c>
      <c r="F26" s="33">
        <v>1200000</v>
      </c>
      <c r="G26" s="32">
        <v>0.5</v>
      </c>
      <c r="H26" s="33">
        <f t="shared" si="8"/>
        <v>600000</v>
      </c>
      <c r="I26" s="33">
        <v>1200000</v>
      </c>
      <c r="J26" s="32">
        <v>0.5</v>
      </c>
      <c r="K26" s="33">
        <f t="shared" si="9"/>
        <v>600000</v>
      </c>
      <c r="L26" s="33">
        <v>1100000</v>
      </c>
      <c r="M26" s="32">
        <v>0.5</v>
      </c>
      <c r="N26" s="33">
        <f t="shared" si="10"/>
        <v>550000</v>
      </c>
      <c r="O26" s="28"/>
      <c r="P26" s="28"/>
      <c r="Q26" s="28"/>
      <c r="R26" s="28"/>
      <c r="U26" s="32" t="s">
        <v>237</v>
      </c>
      <c r="V26" s="33">
        <v>790000</v>
      </c>
      <c r="W26" s="32">
        <v>0.3</v>
      </c>
      <c r="X26" s="33">
        <f t="shared" si="11"/>
        <v>237000</v>
      </c>
      <c r="Y26" s="33">
        <v>790000</v>
      </c>
      <c r="Z26" s="32">
        <v>0.5</v>
      </c>
      <c r="AA26" s="33">
        <f t="shared" si="12"/>
        <v>395000</v>
      </c>
      <c r="AB26" s="33">
        <v>790000</v>
      </c>
      <c r="AC26" s="32">
        <v>0.3</v>
      </c>
      <c r="AD26" s="33">
        <f t="shared" si="13"/>
        <v>237000</v>
      </c>
    </row>
    <row r="27" spans="2:30" hidden="1">
      <c r="B27" s="32" t="s">
        <v>238</v>
      </c>
      <c r="C27" s="33">
        <v>515000</v>
      </c>
      <c r="D27" s="32">
        <v>0</v>
      </c>
      <c r="E27" s="33">
        <f t="shared" si="7"/>
        <v>0</v>
      </c>
      <c r="F27" s="33">
        <v>900000</v>
      </c>
      <c r="G27" s="32">
        <v>0</v>
      </c>
      <c r="H27" s="33">
        <f t="shared" si="8"/>
        <v>0</v>
      </c>
      <c r="I27" s="33">
        <v>800000</v>
      </c>
      <c r="J27" s="32">
        <v>0</v>
      </c>
      <c r="K27" s="33">
        <f t="shared" si="9"/>
        <v>0</v>
      </c>
      <c r="L27" s="33">
        <v>850000</v>
      </c>
      <c r="M27" s="32">
        <v>0</v>
      </c>
      <c r="N27" s="33">
        <f t="shared" si="10"/>
        <v>0</v>
      </c>
      <c r="O27" s="28"/>
      <c r="P27" s="28"/>
      <c r="Q27" s="28"/>
      <c r="R27" s="28"/>
      <c r="U27" s="32" t="s">
        <v>238</v>
      </c>
      <c r="V27" s="33">
        <v>395000</v>
      </c>
      <c r="W27" s="32">
        <v>0</v>
      </c>
      <c r="X27" s="33">
        <f t="shared" si="11"/>
        <v>0</v>
      </c>
      <c r="Y27" s="33">
        <v>395000</v>
      </c>
      <c r="Z27" s="32">
        <v>0</v>
      </c>
      <c r="AA27" s="33">
        <f t="shared" si="12"/>
        <v>0</v>
      </c>
      <c r="AB27" s="33">
        <v>395000</v>
      </c>
      <c r="AC27" s="32">
        <v>0</v>
      </c>
      <c r="AD27" s="33">
        <f t="shared" si="13"/>
        <v>0</v>
      </c>
    </row>
    <row r="28" spans="2:30" hidden="1">
      <c r="B28" s="32" t="s">
        <v>239</v>
      </c>
      <c r="C28" s="33">
        <v>420000</v>
      </c>
      <c r="D28" s="32">
        <v>0</v>
      </c>
      <c r="E28" s="33">
        <f t="shared" si="7"/>
        <v>0</v>
      </c>
      <c r="F28" s="33">
        <v>300000</v>
      </c>
      <c r="G28" s="32">
        <v>0</v>
      </c>
      <c r="H28" s="33">
        <f t="shared" si="8"/>
        <v>0</v>
      </c>
      <c r="I28" s="33">
        <v>400000</v>
      </c>
      <c r="J28" s="32">
        <v>0</v>
      </c>
      <c r="K28" s="33">
        <f t="shared" si="9"/>
        <v>0</v>
      </c>
      <c r="L28" s="33">
        <v>300000</v>
      </c>
      <c r="M28" s="32">
        <v>0</v>
      </c>
      <c r="N28" s="33">
        <f t="shared" si="10"/>
        <v>0</v>
      </c>
      <c r="O28" s="28"/>
      <c r="P28" s="28"/>
      <c r="Q28" s="28"/>
      <c r="R28" s="28"/>
      <c r="U28" s="32" t="s">
        <v>239</v>
      </c>
      <c r="V28" s="33">
        <v>420000</v>
      </c>
      <c r="W28" s="32">
        <v>0</v>
      </c>
      <c r="X28" s="33">
        <f t="shared" si="11"/>
        <v>0</v>
      </c>
      <c r="Y28" s="33">
        <v>420000</v>
      </c>
      <c r="Z28" s="32">
        <v>0</v>
      </c>
      <c r="AA28" s="33">
        <f t="shared" si="12"/>
        <v>0</v>
      </c>
      <c r="AB28" s="33">
        <v>420000</v>
      </c>
      <c r="AC28" s="32">
        <v>0</v>
      </c>
      <c r="AD28" s="33">
        <f t="shared" si="13"/>
        <v>0</v>
      </c>
    </row>
    <row r="29" spans="2:30" hidden="1">
      <c r="B29" s="32" t="s">
        <v>240</v>
      </c>
      <c r="C29" s="33">
        <v>315000</v>
      </c>
      <c r="D29" s="32">
        <v>0</v>
      </c>
      <c r="E29" s="33">
        <f t="shared" si="7"/>
        <v>0</v>
      </c>
      <c r="F29" s="33">
        <v>200000</v>
      </c>
      <c r="G29" s="32">
        <v>0</v>
      </c>
      <c r="H29" s="33">
        <f t="shared" si="8"/>
        <v>0</v>
      </c>
      <c r="I29" s="33">
        <v>450000</v>
      </c>
      <c r="J29" s="32">
        <v>0</v>
      </c>
      <c r="K29" s="33">
        <f t="shared" si="9"/>
        <v>0</v>
      </c>
      <c r="L29" s="33">
        <v>500000</v>
      </c>
      <c r="M29" s="32">
        <v>0</v>
      </c>
      <c r="N29" s="33">
        <f t="shared" si="10"/>
        <v>0</v>
      </c>
      <c r="O29" s="28"/>
      <c r="P29" s="28"/>
      <c r="Q29" s="28"/>
      <c r="R29" s="28"/>
      <c r="U29" s="32" t="s">
        <v>240</v>
      </c>
      <c r="V29" s="33">
        <v>450000</v>
      </c>
      <c r="W29" s="32">
        <v>0</v>
      </c>
      <c r="X29" s="33">
        <f t="shared" si="11"/>
        <v>0</v>
      </c>
      <c r="Y29" s="33">
        <v>450000</v>
      </c>
      <c r="Z29" s="32">
        <v>0</v>
      </c>
      <c r="AA29" s="33">
        <f t="shared" si="12"/>
        <v>0</v>
      </c>
      <c r="AB29" s="33">
        <v>450000</v>
      </c>
      <c r="AC29" s="32">
        <v>0</v>
      </c>
      <c r="AD29" s="33">
        <f t="shared" si="13"/>
        <v>0</v>
      </c>
    </row>
    <row r="30" spans="2:30" hidden="1">
      <c r="B30" s="32" t="s">
        <v>183</v>
      </c>
      <c r="C30" s="33">
        <v>5300</v>
      </c>
      <c r="D30" s="32">
        <v>29</v>
      </c>
      <c r="E30" s="33">
        <f t="shared" si="7"/>
        <v>153700</v>
      </c>
      <c r="F30" s="33"/>
      <c r="G30" s="32"/>
      <c r="H30" s="33"/>
      <c r="I30" s="33"/>
      <c r="J30" s="32">
        <v>0</v>
      </c>
      <c r="K30" s="33"/>
      <c r="L30" s="33"/>
      <c r="M30" s="32"/>
      <c r="N30" s="33"/>
      <c r="O30" s="28"/>
      <c r="P30" s="28"/>
      <c r="Q30" s="28"/>
      <c r="R30" s="28"/>
      <c r="U30" s="32"/>
      <c r="V30" s="33"/>
      <c r="W30" s="32"/>
      <c r="X30" s="33"/>
      <c r="Y30" s="33"/>
      <c r="Z30" s="32"/>
      <c r="AA30" s="33"/>
      <c r="AB30" s="33"/>
      <c r="AC30" s="32"/>
      <c r="AD30" s="33"/>
    </row>
    <row r="31" spans="2:30" hidden="1">
      <c r="B31" s="32" t="s">
        <v>241</v>
      </c>
      <c r="C31" s="33"/>
      <c r="D31" s="32">
        <v>0</v>
      </c>
      <c r="E31" s="33">
        <f t="shared" si="7"/>
        <v>0</v>
      </c>
      <c r="F31" s="33"/>
      <c r="G31" s="32">
        <v>0</v>
      </c>
      <c r="H31" s="33">
        <f t="shared" si="8"/>
        <v>0</v>
      </c>
      <c r="I31" s="33">
        <v>345375</v>
      </c>
      <c r="J31" s="32">
        <v>0</v>
      </c>
      <c r="K31" s="33">
        <f t="shared" si="9"/>
        <v>0</v>
      </c>
      <c r="L31" s="33">
        <v>520000</v>
      </c>
      <c r="M31" s="32">
        <v>0</v>
      </c>
      <c r="N31" s="33">
        <f t="shared" ref="N31" si="14">+L31*M31</f>
        <v>0</v>
      </c>
      <c r="O31" s="28"/>
      <c r="P31" s="28"/>
      <c r="Q31" s="28"/>
      <c r="R31" s="28"/>
      <c r="U31" s="32" t="s">
        <v>241</v>
      </c>
      <c r="V31" s="33">
        <v>240000</v>
      </c>
      <c r="W31" s="32">
        <v>0</v>
      </c>
      <c r="X31" s="33">
        <f t="shared" si="11"/>
        <v>0</v>
      </c>
      <c r="Y31" s="33">
        <v>240000</v>
      </c>
      <c r="Z31" s="32">
        <v>0</v>
      </c>
      <c r="AA31" s="33">
        <f t="shared" si="12"/>
        <v>0</v>
      </c>
      <c r="AB31" s="33">
        <v>240000</v>
      </c>
      <c r="AC31" s="32">
        <v>0</v>
      </c>
      <c r="AD31" s="33">
        <f t="shared" si="13"/>
        <v>0</v>
      </c>
    </row>
    <row r="32" spans="2:30" s="2" customFormat="1" hidden="1">
      <c r="B32" s="35"/>
      <c r="C32" s="35"/>
      <c r="D32" s="31" t="s">
        <v>48</v>
      </c>
      <c r="E32" s="36">
        <f>SUM(E22:E31)</f>
        <v>44789186</v>
      </c>
      <c r="F32" s="35"/>
      <c r="G32" s="31" t="s">
        <v>48</v>
      </c>
      <c r="H32" s="36">
        <f>SUM(H22:H31)</f>
        <v>35320438</v>
      </c>
      <c r="I32" s="35"/>
      <c r="J32" s="31" t="s">
        <v>48</v>
      </c>
      <c r="K32" s="36">
        <f>SUM(K22:K31)</f>
        <v>38479080</v>
      </c>
      <c r="L32" s="35"/>
      <c r="M32" s="31" t="s">
        <v>48</v>
      </c>
      <c r="N32" s="36">
        <f>SUM(N22:N31)</f>
        <v>38618478</v>
      </c>
      <c r="O32" s="48"/>
      <c r="P32" s="48"/>
      <c r="Q32" s="48"/>
      <c r="R32" s="48"/>
      <c r="U32" s="35"/>
      <c r="V32" s="35"/>
      <c r="W32" s="31" t="s">
        <v>48</v>
      </c>
      <c r="X32" s="36">
        <f>SUM(X22:X31)</f>
        <v>41841800</v>
      </c>
      <c r="Y32" s="35"/>
      <c r="Z32" s="31" t="s">
        <v>48</v>
      </c>
      <c r="AA32" s="51">
        <f>SUM(AA22:AA31)</f>
        <v>46639500</v>
      </c>
      <c r="AB32" s="35"/>
      <c r="AC32" s="31" t="s">
        <v>48</v>
      </c>
      <c r="AD32" s="36">
        <f>SUM(AD22:AD31)</f>
        <v>45182857.142857105</v>
      </c>
    </row>
    <row r="33" spans="1:33" hidden="1">
      <c r="K33" s="49"/>
      <c r="L33" s="49"/>
      <c r="M33" s="49" t="s">
        <v>20</v>
      </c>
      <c r="N33" s="49"/>
      <c r="O33" s="49"/>
      <c r="P33" s="49"/>
      <c r="Q33" s="49"/>
      <c r="R33" s="49"/>
      <c r="AD33" s="49">
        <f>(X32+AA32+AD32)/3</f>
        <v>44554719.047619037</v>
      </c>
    </row>
    <row r="34" spans="1:33">
      <c r="B34" s="40" t="s">
        <v>259</v>
      </c>
      <c r="K34" s="49"/>
      <c r="L34" s="49"/>
      <c r="M34" s="49"/>
      <c r="N34" s="49"/>
      <c r="O34" s="49"/>
      <c r="P34" s="49"/>
      <c r="Q34" s="49"/>
      <c r="R34" s="49"/>
      <c r="AD34" s="49"/>
    </row>
    <row r="36" spans="1:33" ht="17.25">
      <c r="A36" s="39"/>
      <c r="B36" s="340" t="s">
        <v>4</v>
      </c>
      <c r="C36" s="330" t="s">
        <v>261</v>
      </c>
      <c r="D36" s="331"/>
      <c r="E36" s="332"/>
      <c r="F36" s="330" t="s">
        <v>262</v>
      </c>
      <c r="G36" s="331"/>
      <c r="H36" s="332"/>
      <c r="I36" s="330" t="s">
        <v>263</v>
      </c>
      <c r="J36" s="331"/>
      <c r="K36" s="332"/>
      <c r="L36" s="367" t="s">
        <v>292</v>
      </c>
      <c r="M36" s="368"/>
      <c r="N36" s="369"/>
      <c r="O36" s="46"/>
      <c r="P36" s="46"/>
      <c r="Q36" s="46"/>
      <c r="R36" s="46"/>
      <c r="U36" s="340" t="s">
        <v>4</v>
      </c>
      <c r="V36" s="330" t="s">
        <v>10</v>
      </c>
      <c r="W36" s="331"/>
      <c r="X36" s="332"/>
      <c r="Y36" s="330" t="s">
        <v>15</v>
      </c>
      <c r="Z36" s="331"/>
      <c r="AA36" s="332"/>
      <c r="AB36" s="330" t="s">
        <v>17</v>
      </c>
      <c r="AC36" s="331"/>
      <c r="AD36" s="332"/>
      <c r="AE36" s="330" t="s">
        <v>17</v>
      </c>
      <c r="AF36" s="331"/>
      <c r="AG36" s="332"/>
    </row>
    <row r="37" spans="1:33">
      <c r="B37" s="341"/>
      <c r="C37" s="30" t="s">
        <v>180</v>
      </c>
      <c r="D37" s="31" t="s">
        <v>41</v>
      </c>
      <c r="E37" s="31" t="s">
        <v>44</v>
      </c>
      <c r="F37" s="30" t="s">
        <v>180</v>
      </c>
      <c r="G37" s="31" t="s">
        <v>41</v>
      </c>
      <c r="H37" s="31" t="s">
        <v>44</v>
      </c>
      <c r="I37" s="30" t="s">
        <v>180</v>
      </c>
      <c r="J37" s="31" t="s">
        <v>41</v>
      </c>
      <c r="K37" s="31" t="s">
        <v>44</v>
      </c>
      <c r="L37" s="30" t="s">
        <v>180</v>
      </c>
      <c r="M37" s="31" t="s">
        <v>41</v>
      </c>
      <c r="N37" s="31" t="s">
        <v>44</v>
      </c>
      <c r="O37" s="46"/>
      <c r="P37" s="46"/>
      <c r="Q37" s="46"/>
      <c r="R37" s="46"/>
      <c r="U37" s="341"/>
      <c r="V37" s="30" t="s">
        <v>180</v>
      </c>
      <c r="W37" s="31" t="s">
        <v>41</v>
      </c>
      <c r="X37" s="31" t="s">
        <v>44</v>
      </c>
      <c r="Y37" s="30" t="s">
        <v>180</v>
      </c>
      <c r="Z37" s="31" t="s">
        <v>41</v>
      </c>
      <c r="AA37" s="31" t="s">
        <v>44</v>
      </c>
      <c r="AB37" s="30" t="s">
        <v>180</v>
      </c>
      <c r="AC37" s="31" t="s">
        <v>41</v>
      </c>
      <c r="AD37" s="31" t="s">
        <v>44</v>
      </c>
      <c r="AE37" s="30" t="s">
        <v>180</v>
      </c>
      <c r="AF37" s="31" t="s">
        <v>41</v>
      </c>
      <c r="AG37" s="31" t="s">
        <v>44</v>
      </c>
    </row>
    <row r="38" spans="1:33" ht="17.25">
      <c r="B38" s="32" t="s">
        <v>233</v>
      </c>
      <c r="C38" s="33">
        <v>39580000</v>
      </c>
      <c r="D38" s="32">
        <v>11</v>
      </c>
      <c r="E38" s="33">
        <f t="shared" ref="E38:E46" si="15">+C38*D38</f>
        <v>435380000</v>
      </c>
      <c r="F38" s="33">
        <v>39961000</v>
      </c>
      <c r="G38" s="32">
        <v>7</v>
      </c>
      <c r="H38" s="33">
        <f t="shared" ref="H38:H45" si="16">+F38*G38</f>
        <v>279727000</v>
      </c>
      <c r="I38" s="33">
        <v>39960000</v>
      </c>
      <c r="J38" s="32">
        <v>7</v>
      </c>
      <c r="K38" s="33">
        <f t="shared" ref="K38:K45" si="17">+I38*J38</f>
        <v>279720000</v>
      </c>
      <c r="L38" s="33">
        <v>39960000</v>
      </c>
      <c r="M38" s="26">
        <v>1</v>
      </c>
      <c r="N38" s="33">
        <f t="shared" ref="N38:N46" si="18">+L38*M38</f>
        <v>39960000</v>
      </c>
      <c r="O38" s="28"/>
      <c r="P38" s="28"/>
      <c r="Q38" s="28"/>
      <c r="R38" s="28"/>
      <c r="U38" s="32" t="s">
        <v>233</v>
      </c>
      <c r="V38" s="33">
        <v>39580000</v>
      </c>
      <c r="W38" s="32">
        <v>11</v>
      </c>
      <c r="X38" s="33">
        <f t="shared" ref="X38:X45" si="19">+V38*W38</f>
        <v>435380000</v>
      </c>
      <c r="Y38" s="33">
        <v>39961000</v>
      </c>
      <c r="Z38" s="32">
        <v>7</v>
      </c>
      <c r="AA38" s="33">
        <f t="shared" ref="AA38:AA45" si="20">+Y38*Z38</f>
        <v>279727000</v>
      </c>
      <c r="AB38" s="33">
        <v>39960000</v>
      </c>
      <c r="AC38" s="32">
        <v>7</v>
      </c>
      <c r="AD38" s="33">
        <f t="shared" ref="AD38:AD45" si="21">+AB38*AC38</f>
        <v>279720000</v>
      </c>
      <c r="AE38" s="33">
        <v>39960000</v>
      </c>
      <c r="AF38" s="26">
        <v>1</v>
      </c>
      <c r="AG38" s="33">
        <f t="shared" ref="AG38:AG46" si="22">+AE38*AF38</f>
        <v>39960000</v>
      </c>
    </row>
    <row r="39" spans="1:33" ht="17.25">
      <c r="B39" s="32" t="s">
        <v>234</v>
      </c>
      <c r="C39" s="33">
        <v>6774000</v>
      </c>
      <c r="D39" s="32">
        <v>11</v>
      </c>
      <c r="E39" s="33">
        <f t="shared" si="15"/>
        <v>74514000</v>
      </c>
      <c r="F39" s="33">
        <v>9102000</v>
      </c>
      <c r="G39" s="32">
        <v>7</v>
      </c>
      <c r="H39" s="33">
        <f t="shared" si="16"/>
        <v>63714000</v>
      </c>
      <c r="I39" s="33">
        <v>9102000</v>
      </c>
      <c r="J39" s="32">
        <v>7</v>
      </c>
      <c r="K39" s="33">
        <f t="shared" si="17"/>
        <v>63714000</v>
      </c>
      <c r="L39" s="33">
        <v>9102000</v>
      </c>
      <c r="M39" s="26">
        <v>1</v>
      </c>
      <c r="N39" s="33">
        <f t="shared" si="18"/>
        <v>9102000</v>
      </c>
      <c r="O39" s="28"/>
      <c r="P39" s="28"/>
      <c r="Q39" s="28"/>
      <c r="R39" s="28"/>
      <c r="U39" s="32" t="s">
        <v>234</v>
      </c>
      <c r="V39" s="33">
        <v>6774000</v>
      </c>
      <c r="W39" s="32">
        <v>11</v>
      </c>
      <c r="X39" s="33">
        <f t="shared" si="19"/>
        <v>74514000</v>
      </c>
      <c r="Y39" s="33">
        <v>9102000</v>
      </c>
      <c r="Z39" s="32">
        <v>7</v>
      </c>
      <c r="AA39" s="33">
        <f t="shared" si="20"/>
        <v>63714000</v>
      </c>
      <c r="AB39" s="33">
        <v>9102000</v>
      </c>
      <c r="AC39" s="32">
        <v>7</v>
      </c>
      <c r="AD39" s="33">
        <f t="shared" si="21"/>
        <v>63714000</v>
      </c>
      <c r="AE39" s="33">
        <v>9102000</v>
      </c>
      <c r="AF39" s="26">
        <v>1</v>
      </c>
      <c r="AG39" s="33">
        <f t="shared" si="22"/>
        <v>9102000</v>
      </c>
    </row>
    <row r="40" spans="1:33" ht="17.25">
      <c r="B40" s="32" t="s">
        <v>235</v>
      </c>
      <c r="C40" s="33">
        <v>7000</v>
      </c>
      <c r="D40" s="32">
        <v>0</v>
      </c>
      <c r="E40" s="33">
        <f t="shared" si="15"/>
        <v>0</v>
      </c>
      <c r="F40" s="33">
        <v>7000</v>
      </c>
      <c r="G40" s="32">
        <v>0</v>
      </c>
      <c r="H40" s="33">
        <f t="shared" si="16"/>
        <v>0</v>
      </c>
      <c r="I40" s="33">
        <v>7000</v>
      </c>
      <c r="J40" s="32">
        <v>0</v>
      </c>
      <c r="K40" s="33">
        <f t="shared" si="17"/>
        <v>0</v>
      </c>
      <c r="L40" s="33">
        <v>7000</v>
      </c>
      <c r="M40" s="27">
        <v>0</v>
      </c>
      <c r="N40" s="33">
        <f t="shared" si="18"/>
        <v>0</v>
      </c>
      <c r="O40" s="28"/>
      <c r="P40" s="28"/>
      <c r="Q40" s="28"/>
      <c r="R40" s="28"/>
      <c r="U40" s="32" t="s">
        <v>235</v>
      </c>
      <c r="V40" s="33">
        <v>4600</v>
      </c>
      <c r="W40" s="32">
        <v>0</v>
      </c>
      <c r="X40" s="33">
        <f t="shared" si="19"/>
        <v>0</v>
      </c>
      <c r="Y40" s="33">
        <v>4600</v>
      </c>
      <c r="Z40" s="32">
        <v>0</v>
      </c>
      <c r="AA40" s="33">
        <f t="shared" si="20"/>
        <v>0</v>
      </c>
      <c r="AB40" s="33">
        <v>7000</v>
      </c>
      <c r="AC40" s="32">
        <v>0</v>
      </c>
      <c r="AD40" s="33">
        <f t="shared" si="21"/>
        <v>0</v>
      </c>
      <c r="AE40" s="33">
        <v>7000</v>
      </c>
      <c r="AF40" s="27">
        <v>0</v>
      </c>
      <c r="AG40" s="33">
        <f t="shared" si="22"/>
        <v>0</v>
      </c>
    </row>
    <row r="41" spans="1:33" ht="17.25">
      <c r="B41" s="32" t="s">
        <v>236</v>
      </c>
      <c r="C41" s="33">
        <v>80300</v>
      </c>
      <c r="D41" s="32">
        <v>155</v>
      </c>
      <c r="E41" s="33">
        <f t="shared" si="15"/>
        <v>12446500</v>
      </c>
      <c r="F41" s="33">
        <v>80300</v>
      </c>
      <c r="G41" s="32">
        <v>174</v>
      </c>
      <c r="H41" s="33">
        <f t="shared" si="16"/>
        <v>13972200</v>
      </c>
      <c r="I41" s="33">
        <v>80300</v>
      </c>
      <c r="J41" s="32">
        <v>122.333333333333</v>
      </c>
      <c r="K41" s="33">
        <f t="shared" si="17"/>
        <v>9823366.66666664</v>
      </c>
      <c r="L41" s="33">
        <v>80300</v>
      </c>
      <c r="M41" s="26">
        <v>25</v>
      </c>
      <c r="N41" s="33">
        <f t="shared" si="18"/>
        <v>2007500</v>
      </c>
      <c r="O41" s="28"/>
      <c r="P41" s="28"/>
      <c r="Q41" s="28"/>
      <c r="R41" s="28"/>
      <c r="U41" s="32" t="s">
        <v>236</v>
      </c>
      <c r="V41" s="33">
        <v>80300</v>
      </c>
      <c r="W41" s="32">
        <v>155</v>
      </c>
      <c r="X41" s="33">
        <f t="shared" si="19"/>
        <v>12446500</v>
      </c>
      <c r="Y41" s="33">
        <v>80300</v>
      </c>
      <c r="Z41" s="32">
        <v>174</v>
      </c>
      <c r="AA41" s="33">
        <f t="shared" si="20"/>
        <v>13972200</v>
      </c>
      <c r="AB41" s="33">
        <v>80300</v>
      </c>
      <c r="AC41" s="32">
        <v>122.333333333333</v>
      </c>
      <c r="AD41" s="33">
        <f t="shared" si="21"/>
        <v>9823366.66666664</v>
      </c>
      <c r="AE41" s="33">
        <v>80300</v>
      </c>
      <c r="AF41" s="26">
        <v>25</v>
      </c>
      <c r="AG41" s="33">
        <f t="shared" si="22"/>
        <v>2007500</v>
      </c>
    </row>
    <row r="42" spans="1:33" ht="17.25">
      <c r="B42" s="32" t="s">
        <v>237</v>
      </c>
      <c r="C42" s="33">
        <v>1200000</v>
      </c>
      <c r="D42" s="32">
        <v>3</v>
      </c>
      <c r="E42" s="33">
        <f t="shared" si="15"/>
        <v>3600000</v>
      </c>
      <c r="F42" s="33">
        <v>1200000</v>
      </c>
      <c r="G42" s="32">
        <v>1</v>
      </c>
      <c r="H42" s="33">
        <f t="shared" si="16"/>
        <v>1200000</v>
      </c>
      <c r="I42" s="33">
        <v>1200000</v>
      </c>
      <c r="J42" s="32">
        <v>2</v>
      </c>
      <c r="K42" s="33">
        <f t="shared" si="17"/>
        <v>2400000</v>
      </c>
      <c r="L42" s="33">
        <v>1200000</v>
      </c>
      <c r="M42" s="26">
        <v>0.5</v>
      </c>
      <c r="N42" s="33">
        <f t="shared" si="18"/>
        <v>600000</v>
      </c>
      <c r="O42" s="28"/>
      <c r="P42" s="28"/>
      <c r="Q42" s="28"/>
      <c r="R42" s="28"/>
      <c r="U42" s="32" t="s">
        <v>237</v>
      </c>
      <c r="V42" s="33">
        <v>960000</v>
      </c>
      <c r="W42" s="32">
        <v>3</v>
      </c>
      <c r="X42" s="33">
        <f t="shared" si="19"/>
        <v>2880000</v>
      </c>
      <c r="Y42" s="33">
        <v>960000</v>
      </c>
      <c r="Z42" s="32">
        <v>1</v>
      </c>
      <c r="AA42" s="33">
        <f t="shared" si="20"/>
        <v>960000</v>
      </c>
      <c r="AB42" s="33">
        <v>960000</v>
      </c>
      <c r="AC42" s="32">
        <v>2</v>
      </c>
      <c r="AD42" s="33">
        <f t="shared" si="21"/>
        <v>1920000</v>
      </c>
      <c r="AE42" s="33">
        <v>960000</v>
      </c>
      <c r="AF42" s="26">
        <v>0.5</v>
      </c>
      <c r="AG42" s="33">
        <f t="shared" si="22"/>
        <v>480000</v>
      </c>
    </row>
    <row r="43" spans="1:33" ht="17.25">
      <c r="B43" s="32" t="s">
        <v>238</v>
      </c>
      <c r="C43" s="33">
        <v>650000</v>
      </c>
      <c r="D43" s="32">
        <v>0</v>
      </c>
      <c r="E43" s="33">
        <f t="shared" si="15"/>
        <v>0</v>
      </c>
      <c r="F43" s="33">
        <v>650000</v>
      </c>
      <c r="G43" s="32">
        <v>0</v>
      </c>
      <c r="H43" s="33">
        <f t="shared" si="16"/>
        <v>0</v>
      </c>
      <c r="I43" s="33">
        <v>650000</v>
      </c>
      <c r="J43" s="32">
        <v>0</v>
      </c>
      <c r="K43" s="33">
        <f t="shared" si="17"/>
        <v>0</v>
      </c>
      <c r="L43" s="33">
        <v>650000</v>
      </c>
      <c r="M43" s="26">
        <v>0</v>
      </c>
      <c r="N43" s="33">
        <f t="shared" si="18"/>
        <v>0</v>
      </c>
      <c r="O43" s="28"/>
      <c r="P43" s="28"/>
      <c r="Q43" s="28"/>
      <c r="R43" s="28"/>
      <c r="U43" s="32" t="s">
        <v>238</v>
      </c>
      <c r="V43" s="33">
        <v>530000</v>
      </c>
      <c r="W43" s="32">
        <v>0</v>
      </c>
      <c r="X43" s="33">
        <f t="shared" si="19"/>
        <v>0</v>
      </c>
      <c r="Y43" s="33">
        <v>530000</v>
      </c>
      <c r="Z43" s="32">
        <v>0</v>
      </c>
      <c r="AA43" s="33">
        <f t="shared" si="20"/>
        <v>0</v>
      </c>
      <c r="AB43" s="33">
        <v>650000</v>
      </c>
      <c r="AC43" s="32">
        <v>0</v>
      </c>
      <c r="AD43" s="33">
        <f t="shared" si="21"/>
        <v>0</v>
      </c>
      <c r="AE43" s="33">
        <v>650000</v>
      </c>
      <c r="AF43" s="26">
        <v>0</v>
      </c>
      <c r="AG43" s="33">
        <f t="shared" si="22"/>
        <v>0</v>
      </c>
    </row>
    <row r="44" spans="1:33" ht="17.25">
      <c r="B44" s="32" t="s">
        <v>239</v>
      </c>
      <c r="C44" s="33">
        <v>420000</v>
      </c>
      <c r="D44" s="32">
        <v>0</v>
      </c>
      <c r="E44" s="33">
        <f t="shared" si="15"/>
        <v>0</v>
      </c>
      <c r="F44" s="33">
        <v>420000</v>
      </c>
      <c r="G44" s="32">
        <v>0</v>
      </c>
      <c r="H44" s="33">
        <f t="shared" si="16"/>
        <v>0</v>
      </c>
      <c r="I44" s="33">
        <v>420000</v>
      </c>
      <c r="J44" s="32">
        <v>0</v>
      </c>
      <c r="K44" s="33">
        <f t="shared" si="17"/>
        <v>0</v>
      </c>
      <c r="L44" s="33">
        <v>420000</v>
      </c>
      <c r="M44" s="26">
        <v>0</v>
      </c>
      <c r="N44" s="33">
        <f t="shared" si="18"/>
        <v>0</v>
      </c>
      <c r="O44" s="28"/>
      <c r="P44" s="28"/>
      <c r="Q44" s="28"/>
      <c r="R44" s="28"/>
      <c r="U44" s="32" t="s">
        <v>239</v>
      </c>
      <c r="V44" s="33">
        <v>420000</v>
      </c>
      <c r="W44" s="32">
        <v>0</v>
      </c>
      <c r="X44" s="33">
        <f t="shared" si="19"/>
        <v>0</v>
      </c>
      <c r="Y44" s="33">
        <v>420000</v>
      </c>
      <c r="Z44" s="32">
        <v>0</v>
      </c>
      <c r="AA44" s="33">
        <f t="shared" si="20"/>
        <v>0</v>
      </c>
      <c r="AB44" s="33">
        <v>420000</v>
      </c>
      <c r="AC44" s="32">
        <v>0</v>
      </c>
      <c r="AD44" s="33">
        <f t="shared" si="21"/>
        <v>0</v>
      </c>
      <c r="AE44" s="33">
        <v>420000</v>
      </c>
      <c r="AF44" s="26">
        <v>0</v>
      </c>
      <c r="AG44" s="33">
        <f t="shared" si="22"/>
        <v>0</v>
      </c>
    </row>
    <row r="45" spans="1:33" ht="17.25">
      <c r="B45" s="32" t="s">
        <v>240</v>
      </c>
      <c r="C45" s="33">
        <v>450000</v>
      </c>
      <c r="D45" s="32">
        <v>0</v>
      </c>
      <c r="E45" s="33">
        <f t="shared" si="15"/>
        <v>0</v>
      </c>
      <c r="F45" s="33">
        <v>450000</v>
      </c>
      <c r="G45" s="32">
        <v>0</v>
      </c>
      <c r="H45" s="33">
        <f t="shared" si="16"/>
        <v>0</v>
      </c>
      <c r="I45" s="33">
        <v>450000</v>
      </c>
      <c r="J45" s="32">
        <v>0</v>
      </c>
      <c r="K45" s="33">
        <f t="shared" si="17"/>
        <v>0</v>
      </c>
      <c r="L45" s="33">
        <v>450000</v>
      </c>
      <c r="M45" s="26">
        <v>0</v>
      </c>
      <c r="N45" s="33">
        <f t="shared" si="18"/>
        <v>0</v>
      </c>
      <c r="O45" s="28"/>
      <c r="P45" s="28"/>
      <c r="Q45" s="28"/>
      <c r="R45" s="28"/>
      <c r="U45" s="32" t="s">
        <v>240</v>
      </c>
      <c r="V45" s="33">
        <v>450000</v>
      </c>
      <c r="W45" s="32">
        <v>0</v>
      </c>
      <c r="X45" s="33">
        <f t="shared" si="19"/>
        <v>0</v>
      </c>
      <c r="Y45" s="33">
        <v>450000</v>
      </c>
      <c r="Z45" s="32">
        <v>0</v>
      </c>
      <c r="AA45" s="33">
        <f t="shared" si="20"/>
        <v>0</v>
      </c>
      <c r="AB45" s="33">
        <v>450000</v>
      </c>
      <c r="AC45" s="32">
        <v>0</v>
      </c>
      <c r="AD45" s="33">
        <f t="shared" si="21"/>
        <v>0</v>
      </c>
      <c r="AE45" s="33">
        <v>450000</v>
      </c>
      <c r="AF45" s="26">
        <v>0</v>
      </c>
      <c r="AG45" s="33">
        <f t="shared" si="22"/>
        <v>0</v>
      </c>
    </row>
    <row r="46" spans="1:33" ht="17.25">
      <c r="B46" s="32" t="s">
        <v>241</v>
      </c>
      <c r="C46" s="33">
        <v>210000</v>
      </c>
      <c r="D46" s="32">
        <v>0</v>
      </c>
      <c r="E46" s="33">
        <f t="shared" si="15"/>
        <v>0</v>
      </c>
      <c r="F46" s="33">
        <v>210000</v>
      </c>
      <c r="G46" s="32">
        <v>0</v>
      </c>
      <c r="H46" s="33">
        <f t="shared" ref="H46" si="23">+F46*G46</f>
        <v>0</v>
      </c>
      <c r="I46" s="33">
        <v>210000</v>
      </c>
      <c r="J46" s="32">
        <v>0</v>
      </c>
      <c r="K46" s="33">
        <f t="shared" ref="K46" si="24">+I46*J46</f>
        <v>0</v>
      </c>
      <c r="L46" s="33">
        <v>210000</v>
      </c>
      <c r="M46" s="26">
        <v>0</v>
      </c>
      <c r="N46" s="33">
        <f t="shared" si="18"/>
        <v>0</v>
      </c>
      <c r="O46" s="28"/>
      <c r="P46" s="28"/>
      <c r="Q46" s="28"/>
      <c r="R46" s="28"/>
      <c r="U46" s="32" t="s">
        <v>241</v>
      </c>
      <c r="V46" s="33">
        <v>210000</v>
      </c>
      <c r="W46" s="32">
        <v>0</v>
      </c>
      <c r="X46" s="33">
        <f t="shared" ref="X46" si="25">+V46*W46</f>
        <v>0</v>
      </c>
      <c r="Y46" s="33">
        <v>210000</v>
      </c>
      <c r="Z46" s="32">
        <v>0</v>
      </c>
      <c r="AA46" s="33">
        <f t="shared" ref="AA46" si="26">+Y46*Z46</f>
        <v>0</v>
      </c>
      <c r="AB46" s="33">
        <v>210000</v>
      </c>
      <c r="AC46" s="32">
        <v>0</v>
      </c>
      <c r="AD46" s="33">
        <f t="shared" ref="AD46" si="27">+AB46*AC46</f>
        <v>0</v>
      </c>
      <c r="AE46" s="33">
        <v>210000</v>
      </c>
      <c r="AF46" s="26">
        <v>0</v>
      </c>
      <c r="AG46" s="33">
        <f t="shared" si="22"/>
        <v>0</v>
      </c>
    </row>
    <row r="47" spans="1:33" s="2" customFormat="1">
      <c r="B47" s="35"/>
      <c r="C47" s="35"/>
      <c r="D47" s="31" t="s">
        <v>48</v>
      </c>
      <c r="E47" s="36">
        <f>SUM(E38:E46)</f>
        <v>525940500</v>
      </c>
      <c r="F47" s="35"/>
      <c r="G47" s="31" t="s">
        <v>48</v>
      </c>
      <c r="H47" s="36">
        <f>SUM(H38:H46)</f>
        <v>358613200</v>
      </c>
      <c r="I47" s="35"/>
      <c r="J47" s="31" t="s">
        <v>48</v>
      </c>
      <c r="K47" s="36">
        <f>SUM(K38:K46)</f>
        <v>355657366.66666663</v>
      </c>
      <c r="L47" s="35"/>
      <c r="M47" s="31" t="s">
        <v>48</v>
      </c>
      <c r="N47" s="36">
        <f>SUM(N38:N46)</f>
        <v>51669500</v>
      </c>
      <c r="O47" s="48"/>
      <c r="P47" s="48"/>
      <c r="Q47" s="48"/>
      <c r="R47" s="48"/>
      <c r="U47" s="35"/>
      <c r="V47" s="35"/>
      <c r="W47" s="31" t="s">
        <v>48</v>
      </c>
      <c r="X47" s="36">
        <f>SUM(X38:X46)</f>
        <v>525220500</v>
      </c>
      <c r="Y47" s="35"/>
      <c r="Z47" s="31" t="s">
        <v>48</v>
      </c>
      <c r="AA47" s="51">
        <f>SUM(AA38:AA46)</f>
        <v>358373200</v>
      </c>
      <c r="AB47" s="35"/>
      <c r="AC47" s="31" t="s">
        <v>48</v>
      </c>
      <c r="AD47" s="36">
        <f>SUM(AD38:AD46)</f>
        <v>355177366.66666663</v>
      </c>
      <c r="AE47" s="35"/>
      <c r="AF47" s="31" t="s">
        <v>48</v>
      </c>
      <c r="AG47" s="36">
        <f>SUM(AG38:AG46)</f>
        <v>51549500</v>
      </c>
    </row>
    <row r="48" spans="1:33" s="2" customFormat="1">
      <c r="B48" s="41"/>
      <c r="C48" s="41"/>
      <c r="D48" s="42"/>
      <c r="E48" s="43"/>
      <c r="F48" s="41"/>
      <c r="G48" s="42"/>
      <c r="H48" s="43"/>
      <c r="I48" s="41"/>
      <c r="J48" s="42"/>
      <c r="K48" s="43"/>
      <c r="L48" s="41"/>
      <c r="M48" s="49" t="s">
        <v>20</v>
      </c>
      <c r="N48" s="49">
        <f>(E47+H47+K47+N47)/26</f>
        <v>49687714.102564096</v>
      </c>
      <c r="O48" s="49"/>
      <c r="P48" s="49"/>
      <c r="Q48" s="49"/>
      <c r="R48" s="49"/>
      <c r="U48" s="41"/>
      <c r="V48" s="41"/>
      <c r="W48" s="42"/>
      <c r="X48" s="43"/>
      <c r="Y48" s="41"/>
      <c r="Z48" s="42"/>
      <c r="AA48" s="52"/>
      <c r="AB48" s="41"/>
      <c r="AD48" s="43"/>
      <c r="AF48" s="49" t="s">
        <v>20</v>
      </c>
      <c r="AG48" s="49">
        <f>(X47+AA47+AD47+AG47)/26</f>
        <v>49627714.102564096</v>
      </c>
    </row>
    <row r="49" spans="1:36" s="2" customFormat="1">
      <c r="B49" s="41"/>
      <c r="C49" s="41"/>
      <c r="D49" s="42"/>
      <c r="E49" s="43"/>
      <c r="F49" s="41"/>
      <c r="G49" s="42"/>
      <c r="H49" s="43"/>
      <c r="I49" s="41"/>
      <c r="J49" s="42"/>
      <c r="K49" s="43"/>
      <c r="L49" s="41"/>
      <c r="M49" s="42"/>
      <c r="N49" s="43"/>
      <c r="O49" s="48"/>
      <c r="P49" s="48"/>
      <c r="Q49" s="48"/>
      <c r="R49" s="48"/>
      <c r="U49" s="41"/>
      <c r="V49" s="41"/>
      <c r="W49" s="42"/>
      <c r="X49" s="43"/>
      <c r="Y49" s="41"/>
      <c r="Z49" s="42"/>
      <c r="AA49" s="52"/>
      <c r="AB49" s="41"/>
      <c r="AC49" s="42"/>
      <c r="AD49" s="43"/>
    </row>
    <row r="51" spans="1:36" ht="17.25">
      <c r="A51" s="39"/>
      <c r="B51" s="340" t="s">
        <v>5</v>
      </c>
      <c r="C51" s="330" t="s">
        <v>10</v>
      </c>
      <c r="D51" s="331"/>
      <c r="E51" s="332"/>
      <c r="F51" s="330" t="s">
        <v>251</v>
      </c>
      <c r="G51" s="331"/>
      <c r="H51" s="332"/>
      <c r="I51" s="330" t="s">
        <v>17</v>
      </c>
      <c r="J51" s="331"/>
      <c r="K51" s="332"/>
      <c r="L51" s="330" t="s">
        <v>252</v>
      </c>
      <c r="M51" s="331"/>
      <c r="N51" s="332"/>
      <c r="O51" s="367" t="s">
        <v>292</v>
      </c>
      <c r="P51" s="368"/>
      <c r="Q51" s="369"/>
      <c r="R51" s="46"/>
      <c r="U51" s="340" t="s">
        <v>5</v>
      </c>
      <c r="V51" s="330" t="s">
        <v>10</v>
      </c>
      <c r="W51" s="331"/>
      <c r="X51" s="332"/>
      <c r="Y51" s="330" t="s">
        <v>15</v>
      </c>
      <c r="Z51" s="331"/>
      <c r="AA51" s="332"/>
      <c r="AB51" s="330" t="s">
        <v>17</v>
      </c>
      <c r="AC51" s="331"/>
      <c r="AD51" s="332"/>
      <c r="AE51" s="330" t="s">
        <v>252</v>
      </c>
      <c r="AF51" s="331"/>
      <c r="AG51" s="332"/>
      <c r="AH51" s="330" t="s">
        <v>17</v>
      </c>
      <c r="AI51" s="331"/>
      <c r="AJ51" s="332"/>
    </row>
    <row r="52" spans="1:36">
      <c r="A52" s="39"/>
      <c r="B52" s="341"/>
      <c r="C52" s="30" t="s">
        <v>180</v>
      </c>
      <c r="D52" s="31" t="s">
        <v>41</v>
      </c>
      <c r="E52" s="31" t="s">
        <v>44</v>
      </c>
      <c r="F52" s="30" t="s">
        <v>180</v>
      </c>
      <c r="G52" s="31" t="s">
        <v>41</v>
      </c>
      <c r="H52" s="31" t="s">
        <v>44</v>
      </c>
      <c r="I52" s="30" t="s">
        <v>180</v>
      </c>
      <c r="J52" s="31" t="s">
        <v>41</v>
      </c>
      <c r="K52" s="31" t="s">
        <v>44</v>
      </c>
      <c r="L52" s="30" t="s">
        <v>180</v>
      </c>
      <c r="M52" s="31" t="s">
        <v>41</v>
      </c>
      <c r="N52" s="31" t="s">
        <v>44</v>
      </c>
      <c r="O52" s="30" t="s">
        <v>180</v>
      </c>
      <c r="P52" s="31" t="s">
        <v>41</v>
      </c>
      <c r="Q52" s="31" t="s">
        <v>44</v>
      </c>
      <c r="R52" s="46"/>
      <c r="U52" s="341"/>
      <c r="V52" s="30" t="s">
        <v>180</v>
      </c>
      <c r="W52" s="31" t="s">
        <v>41</v>
      </c>
      <c r="X52" s="31" t="s">
        <v>44</v>
      </c>
      <c r="Y52" s="30" t="s">
        <v>180</v>
      </c>
      <c r="Z52" s="31" t="s">
        <v>41</v>
      </c>
      <c r="AA52" s="31" t="s">
        <v>44</v>
      </c>
      <c r="AB52" s="30" t="s">
        <v>180</v>
      </c>
      <c r="AC52" s="31" t="s">
        <v>41</v>
      </c>
      <c r="AD52" s="31" t="s">
        <v>44</v>
      </c>
      <c r="AE52" s="30" t="s">
        <v>180</v>
      </c>
      <c r="AF52" s="31" t="s">
        <v>41</v>
      </c>
      <c r="AG52" s="31" t="s">
        <v>44</v>
      </c>
      <c r="AH52" s="30" t="s">
        <v>180</v>
      </c>
      <c r="AI52" s="31" t="s">
        <v>41</v>
      </c>
      <c r="AJ52" s="31" t="s">
        <v>44</v>
      </c>
    </row>
    <row r="53" spans="1:36" ht="17.25">
      <c r="B53" s="32" t="s">
        <v>233</v>
      </c>
      <c r="C53" s="33">
        <v>30000000</v>
      </c>
      <c r="D53" s="32">
        <v>11</v>
      </c>
      <c r="E53" s="33">
        <f t="shared" ref="E53:E61" si="28">+C53*D53</f>
        <v>330000000</v>
      </c>
      <c r="F53" s="33">
        <v>31000000</v>
      </c>
      <c r="G53" s="32">
        <v>7</v>
      </c>
      <c r="H53" s="33">
        <f t="shared" ref="H53:H61" si="29">+F53*G53</f>
        <v>217000000</v>
      </c>
      <c r="I53" s="33">
        <v>31000000</v>
      </c>
      <c r="J53" s="32">
        <v>7</v>
      </c>
      <c r="K53" s="33">
        <f t="shared" ref="K53:K61" si="30">+I53*J53</f>
        <v>217000000</v>
      </c>
      <c r="L53" s="33">
        <v>32000000</v>
      </c>
      <c r="M53" s="32">
        <v>1</v>
      </c>
      <c r="N53" s="33">
        <f t="shared" ref="N53:N61" si="31">+L53*M53</f>
        <v>32000000</v>
      </c>
      <c r="O53" s="33">
        <v>31000000</v>
      </c>
      <c r="P53" s="26">
        <v>1</v>
      </c>
      <c r="Q53" s="33">
        <f t="shared" ref="Q53:Q61" si="32">+O53*P53</f>
        <v>31000000</v>
      </c>
      <c r="R53" s="28"/>
      <c r="U53" s="32" t="s">
        <v>233</v>
      </c>
      <c r="V53" s="33">
        <v>31500000</v>
      </c>
      <c r="W53" s="32">
        <v>11</v>
      </c>
      <c r="X53" s="33">
        <f t="shared" ref="X53:X61" si="33">+V53*W53</f>
        <v>346500000</v>
      </c>
      <c r="Y53" s="33">
        <v>32500000</v>
      </c>
      <c r="Z53" s="32">
        <v>7</v>
      </c>
      <c r="AA53" s="33">
        <f t="shared" ref="AA53:AA61" si="34">+Y53*Z53</f>
        <v>227500000</v>
      </c>
      <c r="AB53" s="33">
        <v>32500000</v>
      </c>
      <c r="AC53" s="32">
        <v>7</v>
      </c>
      <c r="AD53" s="33">
        <f t="shared" ref="AD53:AD61" si="35">+AB53*AC53</f>
        <v>227500000</v>
      </c>
      <c r="AE53" s="33">
        <v>33500000</v>
      </c>
      <c r="AF53" s="32">
        <v>1</v>
      </c>
      <c r="AG53" s="33">
        <f>+AE53*AF53</f>
        <v>33500000</v>
      </c>
      <c r="AH53" s="33">
        <v>32500000</v>
      </c>
      <c r="AI53" s="26">
        <v>1</v>
      </c>
      <c r="AJ53" s="33">
        <f t="shared" ref="AJ53:AJ61" si="36">+AH53*AI53</f>
        <v>32500000</v>
      </c>
    </row>
    <row r="54" spans="1:36" ht="17.25">
      <c r="B54" s="32" t="s">
        <v>234</v>
      </c>
      <c r="C54" s="33">
        <v>8794240</v>
      </c>
      <c r="D54" s="32">
        <v>11</v>
      </c>
      <c r="E54" s="33">
        <f t="shared" si="28"/>
        <v>96736640</v>
      </c>
      <c r="F54" s="33">
        <v>11817260</v>
      </c>
      <c r="G54" s="32">
        <v>7</v>
      </c>
      <c r="H54" s="33">
        <f t="shared" si="29"/>
        <v>82720820</v>
      </c>
      <c r="I54" s="33">
        <v>11817260</v>
      </c>
      <c r="J54" s="32">
        <v>7</v>
      </c>
      <c r="K54" s="33">
        <f t="shared" si="30"/>
        <v>82720820</v>
      </c>
      <c r="L54" s="33">
        <v>12366900</v>
      </c>
      <c r="M54" s="32">
        <v>1</v>
      </c>
      <c r="N54" s="33">
        <f t="shared" si="31"/>
        <v>12366900</v>
      </c>
      <c r="O54" s="33">
        <v>11817260</v>
      </c>
      <c r="P54" s="26">
        <v>1</v>
      </c>
      <c r="Q54" s="33">
        <f t="shared" si="32"/>
        <v>11817260</v>
      </c>
      <c r="R54" s="28"/>
      <c r="U54" s="32" t="s">
        <v>234</v>
      </c>
      <c r="V54" s="33">
        <v>8794240</v>
      </c>
      <c r="W54" s="32">
        <v>11</v>
      </c>
      <c r="X54" s="33">
        <f t="shared" si="33"/>
        <v>96736640</v>
      </c>
      <c r="Y54" s="33">
        <v>11817260</v>
      </c>
      <c r="Z54" s="32">
        <v>7</v>
      </c>
      <c r="AA54" s="33">
        <f t="shared" si="34"/>
        <v>82720820</v>
      </c>
      <c r="AB54" s="33">
        <v>11817260</v>
      </c>
      <c r="AC54" s="32">
        <v>7</v>
      </c>
      <c r="AD54" s="33">
        <f t="shared" si="35"/>
        <v>82720820</v>
      </c>
      <c r="AE54" s="33">
        <v>12366900</v>
      </c>
      <c r="AF54" s="32">
        <v>1</v>
      </c>
      <c r="AG54" s="33">
        <f t="shared" ref="AG54:AG61" si="37">+AE54*AF54</f>
        <v>12366900</v>
      </c>
      <c r="AH54" s="33">
        <v>11817260</v>
      </c>
      <c r="AI54" s="26">
        <v>1</v>
      </c>
      <c r="AJ54" s="33">
        <f t="shared" si="36"/>
        <v>11817260</v>
      </c>
    </row>
    <row r="55" spans="1:36" ht="17.25">
      <c r="B55" s="32" t="s">
        <v>235</v>
      </c>
      <c r="C55" s="33">
        <v>7000</v>
      </c>
      <c r="D55" s="32">
        <v>0</v>
      </c>
      <c r="E55" s="33">
        <f t="shared" si="28"/>
        <v>0</v>
      </c>
      <c r="F55" s="33">
        <v>7000</v>
      </c>
      <c r="G55" s="32">
        <v>0</v>
      </c>
      <c r="H55" s="33">
        <f t="shared" si="29"/>
        <v>0</v>
      </c>
      <c r="I55" s="33">
        <v>7000</v>
      </c>
      <c r="J55" s="32">
        <v>0</v>
      </c>
      <c r="K55" s="33">
        <f t="shared" si="30"/>
        <v>0</v>
      </c>
      <c r="L55" s="33">
        <v>7000</v>
      </c>
      <c r="M55" s="32">
        <v>0</v>
      </c>
      <c r="N55" s="33">
        <f t="shared" si="31"/>
        <v>0</v>
      </c>
      <c r="O55" s="33">
        <v>7000</v>
      </c>
      <c r="P55" s="27">
        <v>0</v>
      </c>
      <c r="Q55" s="33">
        <f t="shared" si="32"/>
        <v>0</v>
      </c>
      <c r="R55" s="28"/>
      <c r="U55" s="32" t="s">
        <v>235</v>
      </c>
      <c r="V55" s="33">
        <v>6000</v>
      </c>
      <c r="W55" s="32">
        <v>0</v>
      </c>
      <c r="X55" s="33">
        <f t="shared" si="33"/>
        <v>0</v>
      </c>
      <c r="Y55" s="33">
        <v>6000</v>
      </c>
      <c r="Z55" s="32">
        <v>0</v>
      </c>
      <c r="AA55" s="33">
        <f t="shared" si="34"/>
        <v>0</v>
      </c>
      <c r="AB55" s="33">
        <v>6000</v>
      </c>
      <c r="AC55" s="32">
        <v>0</v>
      </c>
      <c r="AD55" s="33">
        <f t="shared" si="35"/>
        <v>0</v>
      </c>
      <c r="AE55" s="33">
        <v>6000</v>
      </c>
      <c r="AF55" s="32">
        <v>0</v>
      </c>
      <c r="AG55" s="33">
        <f t="shared" si="37"/>
        <v>0</v>
      </c>
      <c r="AH55" s="33">
        <v>6000</v>
      </c>
      <c r="AI55" s="27">
        <v>0</v>
      </c>
      <c r="AJ55" s="33">
        <f t="shared" si="36"/>
        <v>0</v>
      </c>
    </row>
    <row r="56" spans="1:36" ht="17.25">
      <c r="B56" s="32" t="s">
        <v>236</v>
      </c>
      <c r="C56" s="33">
        <v>80000</v>
      </c>
      <c r="D56" s="32">
        <v>155</v>
      </c>
      <c r="E56" s="33">
        <f t="shared" si="28"/>
        <v>12400000</v>
      </c>
      <c r="F56" s="33">
        <v>80000</v>
      </c>
      <c r="G56" s="44">
        <f>G72</f>
        <v>174</v>
      </c>
      <c r="H56" s="33">
        <f t="shared" si="29"/>
        <v>13920000</v>
      </c>
      <c r="I56" s="33">
        <v>80000</v>
      </c>
      <c r="J56" s="44">
        <f>J72</f>
        <v>122.33333333333333</v>
      </c>
      <c r="K56" s="33">
        <f t="shared" si="30"/>
        <v>9786666.666666666</v>
      </c>
      <c r="L56" s="33">
        <v>80000</v>
      </c>
      <c r="M56" s="32">
        <v>62</v>
      </c>
      <c r="N56" s="33">
        <f t="shared" si="31"/>
        <v>4960000</v>
      </c>
      <c r="O56" s="33">
        <v>80000</v>
      </c>
      <c r="P56" s="26">
        <v>25</v>
      </c>
      <c r="Q56" s="33">
        <f t="shared" si="32"/>
        <v>2000000</v>
      </c>
      <c r="R56" s="28"/>
      <c r="U56" s="32" t="s">
        <v>236</v>
      </c>
      <c r="V56" s="33">
        <v>80000</v>
      </c>
      <c r="W56" s="32">
        <f>D56</f>
        <v>155</v>
      </c>
      <c r="X56" s="33">
        <f t="shared" si="33"/>
        <v>12400000</v>
      </c>
      <c r="Y56" s="33">
        <v>80000</v>
      </c>
      <c r="Z56" s="44">
        <f>G56</f>
        <v>174</v>
      </c>
      <c r="AA56" s="33">
        <f t="shared" si="34"/>
        <v>13920000</v>
      </c>
      <c r="AB56" s="33">
        <v>80000</v>
      </c>
      <c r="AC56" s="44">
        <f>J56</f>
        <v>122.33333333333333</v>
      </c>
      <c r="AD56" s="33">
        <f t="shared" si="35"/>
        <v>9786666.666666666</v>
      </c>
      <c r="AE56" s="33">
        <v>80000</v>
      </c>
      <c r="AF56" s="47">
        <v>62</v>
      </c>
      <c r="AG56" s="33">
        <f t="shared" si="37"/>
        <v>4960000</v>
      </c>
      <c r="AH56" s="33">
        <v>80000</v>
      </c>
      <c r="AI56" s="26">
        <v>25</v>
      </c>
      <c r="AJ56" s="33">
        <f t="shared" si="36"/>
        <v>2000000</v>
      </c>
    </row>
    <row r="57" spans="1:36" ht="17.25">
      <c r="B57" s="32" t="s">
        <v>237</v>
      </c>
      <c r="C57" s="33">
        <v>1500000</v>
      </c>
      <c r="D57" s="32">
        <v>3</v>
      </c>
      <c r="E57" s="33">
        <f t="shared" si="28"/>
        <v>4500000</v>
      </c>
      <c r="F57" s="33">
        <v>1500000</v>
      </c>
      <c r="G57" s="32">
        <v>1</v>
      </c>
      <c r="H57" s="33">
        <f t="shared" si="29"/>
        <v>1500000</v>
      </c>
      <c r="I57" s="33">
        <v>1500000</v>
      </c>
      <c r="J57" s="32">
        <v>2</v>
      </c>
      <c r="K57" s="33">
        <f t="shared" si="30"/>
        <v>3000000</v>
      </c>
      <c r="L57" s="33">
        <v>1500000</v>
      </c>
      <c r="M57" s="32">
        <v>3</v>
      </c>
      <c r="N57" s="33">
        <f t="shared" si="31"/>
        <v>4500000</v>
      </c>
      <c r="O57" s="33">
        <v>1500000</v>
      </c>
      <c r="P57" s="26">
        <v>0.5</v>
      </c>
      <c r="Q57" s="33">
        <f t="shared" si="32"/>
        <v>750000</v>
      </c>
      <c r="R57" s="28"/>
      <c r="U57" s="32" t="s">
        <v>237</v>
      </c>
      <c r="V57" s="33">
        <v>1500000</v>
      </c>
      <c r="W57" s="32">
        <v>3</v>
      </c>
      <c r="X57" s="33">
        <f t="shared" si="33"/>
        <v>4500000</v>
      </c>
      <c r="Y57" s="33">
        <v>1500000</v>
      </c>
      <c r="Z57" s="32">
        <v>1</v>
      </c>
      <c r="AA57" s="33">
        <f t="shared" si="34"/>
        <v>1500000</v>
      </c>
      <c r="AB57" s="33">
        <v>1500000</v>
      </c>
      <c r="AC57" s="32">
        <v>2</v>
      </c>
      <c r="AD57" s="33">
        <f t="shared" si="35"/>
        <v>3000000</v>
      </c>
      <c r="AE57" s="33">
        <v>1500000</v>
      </c>
      <c r="AF57" s="32">
        <v>3</v>
      </c>
      <c r="AG57" s="33">
        <f t="shared" si="37"/>
        <v>4500000</v>
      </c>
      <c r="AH57" s="33">
        <v>1500000</v>
      </c>
      <c r="AI57" s="26">
        <v>0.5</v>
      </c>
      <c r="AJ57" s="33">
        <f t="shared" si="36"/>
        <v>750000</v>
      </c>
    </row>
    <row r="58" spans="1:36" ht="17.25">
      <c r="B58" s="32" t="s">
        <v>238</v>
      </c>
      <c r="C58" s="33">
        <v>1000000</v>
      </c>
      <c r="D58" s="32">
        <v>0</v>
      </c>
      <c r="E58" s="33">
        <f t="shared" si="28"/>
        <v>0</v>
      </c>
      <c r="F58" s="33">
        <v>1000000</v>
      </c>
      <c r="G58" s="32">
        <v>0</v>
      </c>
      <c r="H58" s="33">
        <f t="shared" si="29"/>
        <v>0</v>
      </c>
      <c r="I58" s="33">
        <v>1000000</v>
      </c>
      <c r="J58" s="32">
        <v>0</v>
      </c>
      <c r="K58" s="33">
        <f t="shared" si="30"/>
        <v>0</v>
      </c>
      <c r="L58" s="33">
        <v>1000000</v>
      </c>
      <c r="M58" s="32">
        <v>0</v>
      </c>
      <c r="N58" s="33">
        <f t="shared" si="31"/>
        <v>0</v>
      </c>
      <c r="O58" s="33">
        <v>1000000</v>
      </c>
      <c r="P58" s="26">
        <v>0</v>
      </c>
      <c r="Q58" s="33">
        <f t="shared" si="32"/>
        <v>0</v>
      </c>
      <c r="R58" s="28"/>
      <c r="U58" s="32" t="s">
        <v>238</v>
      </c>
      <c r="V58" s="33">
        <v>1000000</v>
      </c>
      <c r="W58" s="32">
        <v>0</v>
      </c>
      <c r="X58" s="33">
        <f t="shared" si="33"/>
        <v>0</v>
      </c>
      <c r="Y58" s="33">
        <v>1000000</v>
      </c>
      <c r="Z58" s="32">
        <v>0</v>
      </c>
      <c r="AA58" s="33">
        <f t="shared" si="34"/>
        <v>0</v>
      </c>
      <c r="AB58" s="33">
        <v>1000000</v>
      </c>
      <c r="AC58" s="32">
        <v>0</v>
      </c>
      <c r="AD58" s="33">
        <f t="shared" si="35"/>
        <v>0</v>
      </c>
      <c r="AE58" s="33">
        <v>1000000</v>
      </c>
      <c r="AF58" s="32">
        <v>0</v>
      </c>
      <c r="AG58" s="33">
        <f t="shared" si="37"/>
        <v>0</v>
      </c>
      <c r="AH58" s="33">
        <v>1000000</v>
      </c>
      <c r="AI58" s="26">
        <v>0</v>
      </c>
      <c r="AJ58" s="33">
        <f t="shared" si="36"/>
        <v>0</v>
      </c>
    </row>
    <row r="59" spans="1:36" ht="17.25">
      <c r="B59" s="32" t="s">
        <v>239</v>
      </c>
      <c r="C59" s="33">
        <v>400000</v>
      </c>
      <c r="D59" s="32">
        <v>0</v>
      </c>
      <c r="E59" s="33">
        <f t="shared" si="28"/>
        <v>0</v>
      </c>
      <c r="F59" s="33">
        <v>400000</v>
      </c>
      <c r="G59" s="32">
        <v>0</v>
      </c>
      <c r="H59" s="45">
        <f t="shared" si="29"/>
        <v>0</v>
      </c>
      <c r="I59" s="33">
        <v>400000</v>
      </c>
      <c r="J59" s="32">
        <v>0</v>
      </c>
      <c r="K59" s="33">
        <f t="shared" si="30"/>
        <v>0</v>
      </c>
      <c r="L59" s="33">
        <v>400000</v>
      </c>
      <c r="M59" s="32">
        <v>0</v>
      </c>
      <c r="N59" s="33">
        <f t="shared" si="31"/>
        <v>0</v>
      </c>
      <c r="O59" s="33">
        <v>400000</v>
      </c>
      <c r="P59" s="26">
        <v>0</v>
      </c>
      <c r="Q59" s="33">
        <f t="shared" si="32"/>
        <v>0</v>
      </c>
      <c r="R59" s="28"/>
      <c r="U59" s="32" t="s">
        <v>239</v>
      </c>
      <c r="V59" s="33">
        <v>400000</v>
      </c>
      <c r="W59" s="32">
        <v>0</v>
      </c>
      <c r="X59" s="33">
        <f t="shared" si="33"/>
        <v>0</v>
      </c>
      <c r="Y59" s="33">
        <v>400000</v>
      </c>
      <c r="Z59" s="32">
        <v>0</v>
      </c>
      <c r="AA59" s="33">
        <f t="shared" si="34"/>
        <v>0</v>
      </c>
      <c r="AB59" s="33">
        <v>400000</v>
      </c>
      <c r="AC59" s="32">
        <v>0</v>
      </c>
      <c r="AD59" s="33">
        <f t="shared" si="35"/>
        <v>0</v>
      </c>
      <c r="AE59" s="33">
        <v>400000</v>
      </c>
      <c r="AF59" s="32">
        <v>0</v>
      </c>
      <c r="AG59" s="33">
        <f t="shared" si="37"/>
        <v>0</v>
      </c>
      <c r="AH59" s="33">
        <v>400000</v>
      </c>
      <c r="AI59" s="26">
        <v>0</v>
      </c>
      <c r="AJ59" s="33">
        <f t="shared" si="36"/>
        <v>0</v>
      </c>
    </row>
    <row r="60" spans="1:36" ht="17.25">
      <c r="B60" s="32" t="s">
        <v>240</v>
      </c>
      <c r="C60" s="33">
        <v>500000</v>
      </c>
      <c r="D60" s="32">
        <v>0</v>
      </c>
      <c r="E60" s="33">
        <f t="shared" si="28"/>
        <v>0</v>
      </c>
      <c r="F60" s="33">
        <v>500000</v>
      </c>
      <c r="G60" s="32">
        <v>0</v>
      </c>
      <c r="H60" s="45">
        <f t="shared" si="29"/>
        <v>0</v>
      </c>
      <c r="I60" s="33">
        <v>500000</v>
      </c>
      <c r="J60" s="32">
        <v>0</v>
      </c>
      <c r="K60" s="33">
        <f t="shared" si="30"/>
        <v>0</v>
      </c>
      <c r="L60" s="33">
        <v>500000</v>
      </c>
      <c r="M60" s="32">
        <v>0</v>
      </c>
      <c r="N60" s="33">
        <f t="shared" si="31"/>
        <v>0</v>
      </c>
      <c r="O60" s="33">
        <v>500000</v>
      </c>
      <c r="P60" s="26">
        <v>0</v>
      </c>
      <c r="Q60" s="33">
        <f t="shared" si="32"/>
        <v>0</v>
      </c>
      <c r="R60" s="28"/>
      <c r="U60" s="32" t="s">
        <v>240</v>
      </c>
      <c r="V60" s="33">
        <v>500000</v>
      </c>
      <c r="W60" s="32">
        <v>0</v>
      </c>
      <c r="X60" s="33">
        <f t="shared" si="33"/>
        <v>0</v>
      </c>
      <c r="Y60" s="33">
        <v>500000</v>
      </c>
      <c r="Z60" s="32">
        <v>0</v>
      </c>
      <c r="AA60" s="33">
        <f t="shared" si="34"/>
        <v>0</v>
      </c>
      <c r="AB60" s="33">
        <v>500000</v>
      </c>
      <c r="AC60" s="32">
        <v>0</v>
      </c>
      <c r="AD60" s="33">
        <f t="shared" si="35"/>
        <v>0</v>
      </c>
      <c r="AE60" s="33">
        <v>500000</v>
      </c>
      <c r="AF60" s="32">
        <v>0</v>
      </c>
      <c r="AG60" s="33">
        <f t="shared" si="37"/>
        <v>0</v>
      </c>
      <c r="AH60" s="33">
        <v>500000</v>
      </c>
      <c r="AI60" s="26">
        <v>0</v>
      </c>
      <c r="AJ60" s="33">
        <f t="shared" si="36"/>
        <v>0</v>
      </c>
    </row>
    <row r="61" spans="1:36" ht="17.25">
      <c r="B61" s="32" t="s">
        <v>241</v>
      </c>
      <c r="C61" s="33">
        <v>345375</v>
      </c>
      <c r="D61" s="32">
        <v>0</v>
      </c>
      <c r="E61" s="33">
        <f t="shared" si="28"/>
        <v>0</v>
      </c>
      <c r="F61" s="33">
        <v>345375</v>
      </c>
      <c r="G61" s="32">
        <v>0</v>
      </c>
      <c r="H61" s="45">
        <f t="shared" si="29"/>
        <v>0</v>
      </c>
      <c r="I61" s="33">
        <v>345375</v>
      </c>
      <c r="J61" s="32">
        <v>0</v>
      </c>
      <c r="K61" s="33">
        <f t="shared" si="30"/>
        <v>0</v>
      </c>
      <c r="L61" s="33">
        <v>345375</v>
      </c>
      <c r="M61" s="32">
        <v>0</v>
      </c>
      <c r="N61" s="33">
        <f t="shared" si="31"/>
        <v>0</v>
      </c>
      <c r="O61" s="33">
        <v>345375</v>
      </c>
      <c r="P61" s="26">
        <v>0</v>
      </c>
      <c r="Q61" s="33">
        <f t="shared" si="32"/>
        <v>0</v>
      </c>
      <c r="R61" s="28"/>
      <c r="U61" s="32" t="s">
        <v>241</v>
      </c>
      <c r="V61" s="33">
        <v>345375</v>
      </c>
      <c r="W61" s="32">
        <v>0</v>
      </c>
      <c r="X61" s="33">
        <f t="shared" si="33"/>
        <v>0</v>
      </c>
      <c r="Y61" s="33">
        <v>345375</v>
      </c>
      <c r="Z61" s="32">
        <v>0</v>
      </c>
      <c r="AA61" s="33">
        <f t="shared" si="34"/>
        <v>0</v>
      </c>
      <c r="AB61" s="33">
        <v>345375</v>
      </c>
      <c r="AC61" s="32">
        <v>0</v>
      </c>
      <c r="AD61" s="33">
        <f t="shared" si="35"/>
        <v>0</v>
      </c>
      <c r="AE61" s="33">
        <v>345375</v>
      </c>
      <c r="AF61" s="32">
        <v>0</v>
      </c>
      <c r="AG61" s="33">
        <f t="shared" si="37"/>
        <v>0</v>
      </c>
      <c r="AH61" s="33">
        <v>345375</v>
      </c>
      <c r="AI61" s="26">
        <v>0</v>
      </c>
      <c r="AJ61" s="33">
        <f t="shared" si="36"/>
        <v>0</v>
      </c>
    </row>
    <row r="62" spans="1:36">
      <c r="B62" s="35"/>
      <c r="C62" s="35"/>
      <c r="D62" s="31" t="s">
        <v>48</v>
      </c>
      <c r="E62" s="36">
        <f>SUM(E53:E61)</f>
        <v>443636640</v>
      </c>
      <c r="F62" s="35"/>
      <c r="G62" s="31" t="s">
        <v>48</v>
      </c>
      <c r="H62" s="36">
        <f>SUM(H53:H61)</f>
        <v>315140820</v>
      </c>
      <c r="I62" s="35"/>
      <c r="J62" s="31" t="s">
        <v>48</v>
      </c>
      <c r="K62" s="36">
        <f>SUM(K53:K61)</f>
        <v>312507486.66666669</v>
      </c>
      <c r="L62" s="33"/>
      <c r="M62" s="32"/>
      <c r="N62" s="36">
        <f>SUM(N53:N61)</f>
        <v>53826900</v>
      </c>
      <c r="O62" s="35"/>
      <c r="P62" s="31" t="s">
        <v>48</v>
      </c>
      <c r="Q62" s="36">
        <f>SUM(Q53:Q61)</f>
        <v>45567260</v>
      </c>
      <c r="R62" s="48"/>
      <c r="U62" s="35"/>
      <c r="V62" s="35"/>
      <c r="W62" s="31" t="s">
        <v>48</v>
      </c>
      <c r="X62" s="36">
        <f>SUM(X53:X61)</f>
        <v>460136640</v>
      </c>
      <c r="Y62" s="35"/>
      <c r="Z62" s="31" t="s">
        <v>48</v>
      </c>
      <c r="AA62" s="51">
        <f>SUM(AA53:AA61)</f>
        <v>325640820</v>
      </c>
      <c r="AB62" s="35"/>
      <c r="AC62" s="31" t="s">
        <v>48</v>
      </c>
      <c r="AD62" s="36">
        <f>SUM(AD53:AD61)</f>
        <v>323007486.66666669</v>
      </c>
      <c r="AE62" s="33"/>
      <c r="AF62" s="32"/>
      <c r="AG62" s="36">
        <f>SUM(AG53:AG61)</f>
        <v>55326900</v>
      </c>
      <c r="AH62" s="35"/>
      <c r="AI62" s="31" t="s">
        <v>48</v>
      </c>
      <c r="AJ62" s="36">
        <f>SUM(AJ53:AJ61)</f>
        <v>47067260</v>
      </c>
    </row>
    <row r="63" spans="1:36">
      <c r="M63" s="49" t="s">
        <v>20</v>
      </c>
      <c r="N63" s="49">
        <f>(E62+H62+K62+N62+Q62)/27</f>
        <v>43358485.432098769</v>
      </c>
      <c r="O63" s="49"/>
      <c r="P63" s="49"/>
      <c r="Q63" s="49"/>
      <c r="R63" s="49"/>
      <c r="AF63" s="49" t="s">
        <v>20</v>
      </c>
      <c r="AG63" s="49">
        <f>(X62+AA62+AD62+AG62+AJ62)/27</f>
        <v>44858485.432098769</v>
      </c>
    </row>
    <row r="66" spans="1:36">
      <c r="K66" s="49"/>
      <c r="L66" s="49"/>
      <c r="M66" s="49"/>
      <c r="N66" s="49"/>
      <c r="O66" s="49"/>
      <c r="P66" s="49"/>
      <c r="Q66" s="49"/>
      <c r="R66" s="49"/>
      <c r="AD66" s="49"/>
    </row>
    <row r="67" spans="1:36" ht="17.25">
      <c r="B67" s="379" t="s">
        <v>6</v>
      </c>
      <c r="C67" s="330" t="s">
        <v>10</v>
      </c>
      <c r="D67" s="331"/>
      <c r="E67" s="332"/>
      <c r="F67" s="330" t="s">
        <v>251</v>
      </c>
      <c r="G67" s="331"/>
      <c r="H67" s="332"/>
      <c r="I67" s="330" t="s">
        <v>17</v>
      </c>
      <c r="J67" s="331"/>
      <c r="K67" s="332"/>
      <c r="L67" s="330" t="s">
        <v>252</v>
      </c>
      <c r="M67" s="331"/>
      <c r="N67" s="332"/>
      <c r="O67" s="367" t="s">
        <v>292</v>
      </c>
      <c r="P67" s="368"/>
      <c r="Q67" s="369"/>
      <c r="R67" s="46"/>
      <c r="U67" s="340" t="s">
        <v>6</v>
      </c>
      <c r="V67" s="330" t="s">
        <v>10</v>
      </c>
      <c r="W67" s="331"/>
      <c r="X67" s="332"/>
      <c r="Y67" s="330" t="s">
        <v>15</v>
      </c>
      <c r="Z67" s="331"/>
      <c r="AA67" s="332"/>
      <c r="AB67" s="330" t="s">
        <v>17</v>
      </c>
      <c r="AC67" s="331"/>
      <c r="AD67" s="332"/>
      <c r="AE67" s="330" t="s">
        <v>252</v>
      </c>
      <c r="AF67" s="331"/>
      <c r="AG67" s="332"/>
      <c r="AH67" s="330" t="s">
        <v>17</v>
      </c>
      <c r="AI67" s="331"/>
      <c r="AJ67" s="332"/>
    </row>
    <row r="68" spans="1:36">
      <c r="A68" s="39"/>
      <c r="B68" s="380"/>
      <c r="C68" s="30" t="s">
        <v>180</v>
      </c>
      <c r="D68" s="31" t="s">
        <v>41</v>
      </c>
      <c r="E68" s="31" t="s">
        <v>44</v>
      </c>
      <c r="F68" s="30" t="s">
        <v>180</v>
      </c>
      <c r="G68" s="31" t="s">
        <v>41</v>
      </c>
      <c r="H68" s="31" t="s">
        <v>44</v>
      </c>
      <c r="I68" s="30" t="s">
        <v>180</v>
      </c>
      <c r="J68" s="31" t="s">
        <v>41</v>
      </c>
      <c r="K68" s="31" t="s">
        <v>44</v>
      </c>
      <c r="L68" s="30" t="s">
        <v>180</v>
      </c>
      <c r="M68" s="31" t="s">
        <v>41</v>
      </c>
      <c r="N68" s="31" t="s">
        <v>44</v>
      </c>
      <c r="O68" s="30" t="s">
        <v>180</v>
      </c>
      <c r="P68" s="31" t="s">
        <v>41</v>
      </c>
      <c r="Q68" s="31" t="s">
        <v>44</v>
      </c>
      <c r="R68" s="46"/>
      <c r="U68" s="341"/>
      <c r="V68" s="30" t="s">
        <v>180</v>
      </c>
      <c r="W68" s="31" t="s">
        <v>41</v>
      </c>
      <c r="X68" s="31" t="s">
        <v>44</v>
      </c>
      <c r="Y68" s="30" t="s">
        <v>180</v>
      </c>
      <c r="Z68" s="31" t="s">
        <v>41</v>
      </c>
      <c r="AA68" s="31" t="s">
        <v>44</v>
      </c>
      <c r="AB68" s="30" t="s">
        <v>180</v>
      </c>
      <c r="AC68" s="31" t="s">
        <v>41</v>
      </c>
      <c r="AD68" s="31" t="s">
        <v>44</v>
      </c>
      <c r="AE68" s="30" t="s">
        <v>180</v>
      </c>
      <c r="AF68" s="31" t="s">
        <v>41</v>
      </c>
      <c r="AG68" s="31" t="s">
        <v>44</v>
      </c>
      <c r="AH68" s="30" t="s">
        <v>180</v>
      </c>
      <c r="AI68" s="31" t="s">
        <v>41</v>
      </c>
      <c r="AJ68" s="31" t="s">
        <v>44</v>
      </c>
    </row>
    <row r="69" spans="1:36" ht="17.25">
      <c r="B69" s="32" t="s">
        <v>233</v>
      </c>
      <c r="C69" s="33">
        <v>26274370</v>
      </c>
      <c r="D69" s="32">
        <v>11</v>
      </c>
      <c r="E69" s="33">
        <f t="shared" ref="E69:E77" si="38">+C69*D69</f>
        <v>289018070</v>
      </c>
      <c r="F69" s="33">
        <v>27874370</v>
      </c>
      <c r="G69" s="32">
        <v>7</v>
      </c>
      <c r="H69" s="33">
        <f t="shared" ref="H69:H77" si="39">+F69*G69</f>
        <v>195120590</v>
      </c>
      <c r="I69" s="33">
        <v>27874370</v>
      </c>
      <c r="J69" s="32">
        <v>7</v>
      </c>
      <c r="K69" s="33">
        <f t="shared" ref="K69:K77" si="40">+I69*J69</f>
        <v>195120590</v>
      </c>
      <c r="L69" s="33">
        <v>28374370</v>
      </c>
      <c r="M69" s="32">
        <v>1</v>
      </c>
      <c r="N69" s="33">
        <f t="shared" ref="N69:N77" si="41">+L69*M69</f>
        <v>28374370</v>
      </c>
      <c r="O69" s="33">
        <v>27874370</v>
      </c>
      <c r="P69" s="26">
        <v>1</v>
      </c>
      <c r="Q69" s="33">
        <f t="shared" ref="Q69:Q77" si="42">+O69*P69</f>
        <v>27874370</v>
      </c>
      <c r="R69" s="28"/>
      <c r="U69" s="32" t="s">
        <v>233</v>
      </c>
      <c r="V69" s="33">
        <v>26274370</v>
      </c>
      <c r="W69" s="32">
        <v>11</v>
      </c>
      <c r="X69" s="33">
        <f t="shared" ref="X69:X77" si="43">+V69*W69</f>
        <v>289018070</v>
      </c>
      <c r="Y69" s="33">
        <v>27874370</v>
      </c>
      <c r="Z69" s="32">
        <v>7</v>
      </c>
      <c r="AA69" s="33">
        <f t="shared" ref="AA69:AA77" si="44">+Y69*Z69</f>
        <v>195120590</v>
      </c>
      <c r="AB69" s="33">
        <v>27874370</v>
      </c>
      <c r="AC69" s="32">
        <v>7</v>
      </c>
      <c r="AD69" s="33">
        <f t="shared" ref="AD69:AD77" si="45">+AB69*AC69</f>
        <v>195120590</v>
      </c>
      <c r="AE69" s="33">
        <v>28374370</v>
      </c>
      <c r="AF69" s="32">
        <v>1</v>
      </c>
      <c r="AG69" s="33">
        <f t="shared" ref="AG69:AG77" si="46">+AE69*AF69</f>
        <v>28374370</v>
      </c>
      <c r="AH69" s="33">
        <v>27874370</v>
      </c>
      <c r="AI69" s="26">
        <v>1</v>
      </c>
      <c r="AJ69" s="33">
        <f t="shared" ref="AJ69:AJ77" si="47">+AH69*AI69</f>
        <v>27874370</v>
      </c>
    </row>
    <row r="70" spans="1:36" ht="17.25">
      <c r="B70" s="32" t="s">
        <v>234</v>
      </c>
      <c r="C70" s="33">
        <v>4726400</v>
      </c>
      <c r="D70" s="32">
        <v>11</v>
      </c>
      <c r="E70" s="33">
        <f t="shared" si="38"/>
        <v>51990400</v>
      </c>
      <c r="F70" s="33">
        <v>6351100</v>
      </c>
      <c r="G70" s="32">
        <v>7</v>
      </c>
      <c r="H70" s="33">
        <f t="shared" si="39"/>
        <v>44457700</v>
      </c>
      <c r="I70" s="33">
        <v>6351100</v>
      </c>
      <c r="J70" s="32">
        <v>7</v>
      </c>
      <c r="K70" s="33">
        <f t="shared" si="40"/>
        <v>44457700</v>
      </c>
      <c r="L70" s="33">
        <v>6351100</v>
      </c>
      <c r="M70" s="32">
        <v>1</v>
      </c>
      <c r="N70" s="33">
        <f t="shared" si="41"/>
        <v>6351100</v>
      </c>
      <c r="O70" s="33">
        <v>6351100</v>
      </c>
      <c r="P70" s="26">
        <v>1</v>
      </c>
      <c r="Q70" s="33">
        <f t="shared" si="42"/>
        <v>6351100</v>
      </c>
      <c r="R70" s="28"/>
      <c r="U70" s="32" t="s">
        <v>234</v>
      </c>
      <c r="V70" s="33">
        <v>4726400</v>
      </c>
      <c r="W70" s="32">
        <v>11</v>
      </c>
      <c r="X70" s="33">
        <f t="shared" si="43"/>
        <v>51990400</v>
      </c>
      <c r="Y70" s="33">
        <v>6351100</v>
      </c>
      <c r="Z70" s="32">
        <v>7</v>
      </c>
      <c r="AA70" s="33">
        <f t="shared" si="44"/>
        <v>44457700</v>
      </c>
      <c r="AB70" s="33">
        <v>6351100</v>
      </c>
      <c r="AC70" s="32">
        <v>7</v>
      </c>
      <c r="AD70" s="33">
        <f t="shared" si="45"/>
        <v>44457700</v>
      </c>
      <c r="AE70" s="33">
        <v>6351100</v>
      </c>
      <c r="AF70" s="32">
        <v>1</v>
      </c>
      <c r="AG70" s="33">
        <f t="shared" si="46"/>
        <v>6351100</v>
      </c>
      <c r="AH70" s="33">
        <v>6351100</v>
      </c>
      <c r="AI70" s="26">
        <v>1</v>
      </c>
      <c r="AJ70" s="33">
        <f t="shared" si="47"/>
        <v>6351100</v>
      </c>
    </row>
    <row r="71" spans="1:36" ht="17.25">
      <c r="B71" s="53" t="s">
        <v>235</v>
      </c>
      <c r="C71" s="33">
        <v>7000</v>
      </c>
      <c r="D71" s="32">
        <v>0</v>
      </c>
      <c r="E71" s="33">
        <f t="shared" si="38"/>
        <v>0</v>
      </c>
      <c r="F71" s="33">
        <v>7000</v>
      </c>
      <c r="G71" s="32">
        <v>0</v>
      </c>
      <c r="H71" s="33">
        <f t="shared" si="39"/>
        <v>0</v>
      </c>
      <c r="I71" s="33">
        <v>7000</v>
      </c>
      <c r="J71" s="32">
        <v>0</v>
      </c>
      <c r="K71" s="33">
        <f t="shared" si="40"/>
        <v>0</v>
      </c>
      <c r="L71" s="33">
        <v>7000</v>
      </c>
      <c r="M71" s="32">
        <v>0</v>
      </c>
      <c r="N71" s="33">
        <f t="shared" si="41"/>
        <v>0</v>
      </c>
      <c r="O71" s="33">
        <v>7000</v>
      </c>
      <c r="P71" s="27">
        <v>0</v>
      </c>
      <c r="Q71" s="33">
        <f t="shared" si="42"/>
        <v>0</v>
      </c>
      <c r="R71" s="28"/>
      <c r="U71" s="32" t="s">
        <v>235</v>
      </c>
      <c r="V71" s="33">
        <v>7000</v>
      </c>
      <c r="W71" s="32">
        <v>0</v>
      </c>
      <c r="X71" s="33">
        <f t="shared" si="43"/>
        <v>0</v>
      </c>
      <c r="Y71" s="33">
        <v>7000</v>
      </c>
      <c r="Z71" s="32">
        <v>0</v>
      </c>
      <c r="AA71" s="33">
        <f t="shared" si="44"/>
        <v>0</v>
      </c>
      <c r="AB71" s="33">
        <v>7000</v>
      </c>
      <c r="AC71" s="32">
        <v>0</v>
      </c>
      <c r="AD71" s="33">
        <f t="shared" si="45"/>
        <v>0</v>
      </c>
      <c r="AE71" s="33">
        <v>7000</v>
      </c>
      <c r="AF71" s="32">
        <v>0</v>
      </c>
      <c r="AG71" s="33">
        <f t="shared" si="46"/>
        <v>0</v>
      </c>
      <c r="AH71" s="33">
        <v>7000</v>
      </c>
      <c r="AI71" s="27">
        <v>0</v>
      </c>
      <c r="AJ71" s="33">
        <f t="shared" si="47"/>
        <v>0</v>
      </c>
    </row>
    <row r="72" spans="1:36" ht="17.25">
      <c r="B72" s="53" t="s">
        <v>236</v>
      </c>
      <c r="C72" s="33">
        <v>70000</v>
      </c>
      <c r="D72" s="54">
        <f>177-E84</f>
        <v>155</v>
      </c>
      <c r="E72" s="33">
        <f t="shared" si="38"/>
        <v>10850000</v>
      </c>
      <c r="F72" s="33">
        <v>70000</v>
      </c>
      <c r="G72" s="54">
        <f>218-E85</f>
        <v>174</v>
      </c>
      <c r="H72" s="33">
        <f t="shared" si="39"/>
        <v>12180000</v>
      </c>
      <c r="I72" s="33">
        <v>70000</v>
      </c>
      <c r="J72" s="54">
        <f>137-E86</f>
        <v>122.33333333333333</v>
      </c>
      <c r="K72" s="33">
        <f t="shared" si="40"/>
        <v>8563333.3333333321</v>
      </c>
      <c r="L72" s="33">
        <v>70000</v>
      </c>
      <c r="M72" s="47">
        <v>62</v>
      </c>
      <c r="N72" s="33">
        <f t="shared" si="41"/>
        <v>4340000</v>
      </c>
      <c r="O72" s="33">
        <v>70000</v>
      </c>
      <c r="P72" s="26">
        <v>25</v>
      </c>
      <c r="Q72" s="33">
        <f t="shared" si="42"/>
        <v>1750000</v>
      </c>
      <c r="R72" s="28"/>
      <c r="U72" s="32" t="s">
        <v>236</v>
      </c>
      <c r="V72" s="33">
        <v>70000</v>
      </c>
      <c r="W72" s="44">
        <f>D72</f>
        <v>155</v>
      </c>
      <c r="X72" s="33">
        <f t="shared" si="43"/>
        <v>10850000</v>
      </c>
      <c r="Y72" s="33">
        <v>70000</v>
      </c>
      <c r="Z72" s="44">
        <f>G72</f>
        <v>174</v>
      </c>
      <c r="AA72" s="33">
        <f t="shared" si="44"/>
        <v>12180000</v>
      </c>
      <c r="AB72" s="33">
        <v>70000</v>
      </c>
      <c r="AC72" s="44">
        <f>J72</f>
        <v>122.33333333333333</v>
      </c>
      <c r="AD72" s="33">
        <f t="shared" si="45"/>
        <v>8563333.3333333321</v>
      </c>
      <c r="AE72" s="33">
        <v>70000</v>
      </c>
      <c r="AF72" s="47">
        <v>62</v>
      </c>
      <c r="AG72" s="33">
        <f t="shared" si="46"/>
        <v>4340000</v>
      </c>
      <c r="AH72" s="33">
        <v>70000</v>
      </c>
      <c r="AI72" s="26">
        <v>25</v>
      </c>
      <c r="AJ72" s="33">
        <f t="shared" si="47"/>
        <v>1750000</v>
      </c>
    </row>
    <row r="73" spans="1:36" ht="17.25">
      <c r="B73" s="32" t="s">
        <v>237</v>
      </c>
      <c r="C73" s="33">
        <v>1300000</v>
      </c>
      <c r="D73" s="32">
        <v>3</v>
      </c>
      <c r="E73" s="33">
        <f t="shared" si="38"/>
        <v>3900000</v>
      </c>
      <c r="F73" s="33">
        <v>1300000</v>
      </c>
      <c r="G73" s="32">
        <v>1</v>
      </c>
      <c r="H73" s="33">
        <f t="shared" si="39"/>
        <v>1300000</v>
      </c>
      <c r="I73" s="33">
        <v>1300000</v>
      </c>
      <c r="J73" s="32">
        <v>2</v>
      </c>
      <c r="K73" s="33">
        <f t="shared" si="40"/>
        <v>2600000</v>
      </c>
      <c r="L73" s="33">
        <v>1300000</v>
      </c>
      <c r="M73" s="32">
        <v>3</v>
      </c>
      <c r="N73" s="33">
        <f t="shared" si="41"/>
        <v>3900000</v>
      </c>
      <c r="O73" s="33">
        <v>1300000</v>
      </c>
      <c r="P73" s="26">
        <v>0.5</v>
      </c>
      <c r="Q73" s="33">
        <f t="shared" si="42"/>
        <v>650000</v>
      </c>
      <c r="R73" s="28"/>
      <c r="U73" s="32" t="s">
        <v>237</v>
      </c>
      <c r="V73" s="33">
        <v>1300000</v>
      </c>
      <c r="W73" s="32">
        <v>3</v>
      </c>
      <c r="X73" s="33">
        <f t="shared" si="43"/>
        <v>3900000</v>
      </c>
      <c r="Y73" s="33">
        <v>1300000</v>
      </c>
      <c r="Z73" s="32">
        <v>1</v>
      </c>
      <c r="AA73" s="33">
        <f t="shared" si="44"/>
        <v>1300000</v>
      </c>
      <c r="AB73" s="33">
        <v>1300000</v>
      </c>
      <c r="AC73" s="32">
        <v>2</v>
      </c>
      <c r="AD73" s="33">
        <f t="shared" si="45"/>
        <v>2600000</v>
      </c>
      <c r="AE73" s="33">
        <v>1300000</v>
      </c>
      <c r="AF73" s="32">
        <v>3</v>
      </c>
      <c r="AG73" s="33">
        <f t="shared" si="46"/>
        <v>3900000</v>
      </c>
      <c r="AH73" s="33">
        <v>1300000</v>
      </c>
      <c r="AI73" s="26">
        <v>0.5</v>
      </c>
      <c r="AJ73" s="33">
        <f t="shared" si="47"/>
        <v>650000</v>
      </c>
    </row>
    <row r="74" spans="1:36" ht="17.25">
      <c r="B74" s="32" t="s">
        <v>238</v>
      </c>
      <c r="C74" s="33">
        <v>975000</v>
      </c>
      <c r="D74" s="32">
        <v>0</v>
      </c>
      <c r="E74" s="33">
        <f t="shared" si="38"/>
        <v>0</v>
      </c>
      <c r="F74" s="33">
        <v>975000</v>
      </c>
      <c r="G74" s="32">
        <v>0</v>
      </c>
      <c r="H74" s="33">
        <f t="shared" si="39"/>
        <v>0</v>
      </c>
      <c r="I74" s="33">
        <v>975000</v>
      </c>
      <c r="J74" s="32">
        <v>0</v>
      </c>
      <c r="K74" s="33">
        <f t="shared" si="40"/>
        <v>0</v>
      </c>
      <c r="L74" s="33">
        <v>975000</v>
      </c>
      <c r="M74" s="32">
        <v>0</v>
      </c>
      <c r="N74" s="33">
        <f t="shared" si="41"/>
        <v>0</v>
      </c>
      <c r="O74" s="33">
        <v>975000</v>
      </c>
      <c r="P74" s="26">
        <v>0</v>
      </c>
      <c r="Q74" s="33">
        <f t="shared" si="42"/>
        <v>0</v>
      </c>
      <c r="R74" s="28"/>
      <c r="U74" s="32" t="s">
        <v>238</v>
      </c>
      <c r="V74" s="33">
        <v>975000</v>
      </c>
      <c r="W74" s="32">
        <v>0</v>
      </c>
      <c r="X74" s="33">
        <f t="shared" si="43"/>
        <v>0</v>
      </c>
      <c r="Y74" s="33">
        <v>975000</v>
      </c>
      <c r="Z74" s="32">
        <v>0</v>
      </c>
      <c r="AA74" s="33">
        <f t="shared" si="44"/>
        <v>0</v>
      </c>
      <c r="AB74" s="33">
        <v>975000</v>
      </c>
      <c r="AC74" s="32">
        <v>0</v>
      </c>
      <c r="AD74" s="33">
        <f t="shared" si="45"/>
        <v>0</v>
      </c>
      <c r="AE74" s="33">
        <v>975000</v>
      </c>
      <c r="AF74" s="32">
        <v>0</v>
      </c>
      <c r="AG74" s="33">
        <f t="shared" si="46"/>
        <v>0</v>
      </c>
      <c r="AH74" s="33">
        <v>975000</v>
      </c>
      <c r="AI74" s="26">
        <v>0</v>
      </c>
      <c r="AJ74" s="33">
        <f t="shared" si="47"/>
        <v>0</v>
      </c>
    </row>
    <row r="75" spans="1:36" ht="17.25">
      <c r="B75" s="32" t="s">
        <v>239</v>
      </c>
      <c r="C75" s="33">
        <v>300000</v>
      </c>
      <c r="D75" s="32">
        <v>0</v>
      </c>
      <c r="E75" s="33">
        <f t="shared" si="38"/>
        <v>0</v>
      </c>
      <c r="F75" s="33">
        <v>300000</v>
      </c>
      <c r="G75" s="32">
        <v>0</v>
      </c>
      <c r="H75" s="33">
        <f t="shared" si="39"/>
        <v>0</v>
      </c>
      <c r="I75" s="33">
        <v>300000</v>
      </c>
      <c r="J75" s="32">
        <v>0</v>
      </c>
      <c r="K75" s="33">
        <f t="shared" si="40"/>
        <v>0</v>
      </c>
      <c r="L75" s="33">
        <v>300000</v>
      </c>
      <c r="M75" s="32">
        <v>0</v>
      </c>
      <c r="N75" s="33">
        <f t="shared" si="41"/>
        <v>0</v>
      </c>
      <c r="O75" s="33">
        <v>300000</v>
      </c>
      <c r="P75" s="26">
        <v>0</v>
      </c>
      <c r="Q75" s="33">
        <f t="shared" si="42"/>
        <v>0</v>
      </c>
      <c r="R75" s="28"/>
      <c r="U75" s="32" t="s">
        <v>239</v>
      </c>
      <c r="V75" s="33">
        <v>300000</v>
      </c>
      <c r="W75" s="32">
        <v>0</v>
      </c>
      <c r="X75" s="33">
        <f t="shared" si="43"/>
        <v>0</v>
      </c>
      <c r="Y75" s="33">
        <v>300000</v>
      </c>
      <c r="Z75" s="32">
        <v>0</v>
      </c>
      <c r="AA75" s="33">
        <f t="shared" si="44"/>
        <v>0</v>
      </c>
      <c r="AB75" s="33">
        <v>300000</v>
      </c>
      <c r="AC75" s="32">
        <v>0</v>
      </c>
      <c r="AD75" s="33">
        <f t="shared" si="45"/>
        <v>0</v>
      </c>
      <c r="AE75" s="33">
        <v>300000</v>
      </c>
      <c r="AF75" s="32">
        <v>0</v>
      </c>
      <c r="AG75" s="33">
        <f t="shared" si="46"/>
        <v>0</v>
      </c>
      <c r="AH75" s="33">
        <v>300000</v>
      </c>
      <c r="AI75" s="26">
        <v>0</v>
      </c>
      <c r="AJ75" s="33">
        <f t="shared" si="47"/>
        <v>0</v>
      </c>
    </row>
    <row r="76" spans="1:36" ht="17.25">
      <c r="B76" s="32" t="s">
        <v>240</v>
      </c>
      <c r="C76" s="33">
        <v>200000</v>
      </c>
      <c r="D76" s="32">
        <v>0</v>
      </c>
      <c r="E76" s="33">
        <f t="shared" si="38"/>
        <v>0</v>
      </c>
      <c r="F76" s="33">
        <v>200000</v>
      </c>
      <c r="G76" s="32">
        <v>0</v>
      </c>
      <c r="H76" s="33">
        <f t="shared" si="39"/>
        <v>0</v>
      </c>
      <c r="I76" s="33">
        <v>200000</v>
      </c>
      <c r="J76" s="32">
        <v>0</v>
      </c>
      <c r="K76" s="33">
        <f t="shared" si="40"/>
        <v>0</v>
      </c>
      <c r="L76" s="33">
        <v>200000</v>
      </c>
      <c r="M76" s="32">
        <v>0</v>
      </c>
      <c r="N76" s="33">
        <f t="shared" si="41"/>
        <v>0</v>
      </c>
      <c r="O76" s="33">
        <v>200000</v>
      </c>
      <c r="P76" s="26">
        <v>0</v>
      </c>
      <c r="Q76" s="33">
        <f t="shared" si="42"/>
        <v>0</v>
      </c>
      <c r="R76" s="28"/>
      <c r="U76" s="32" t="s">
        <v>240</v>
      </c>
      <c r="V76" s="33">
        <v>200000</v>
      </c>
      <c r="W76" s="32">
        <v>0</v>
      </c>
      <c r="X76" s="33">
        <f t="shared" si="43"/>
        <v>0</v>
      </c>
      <c r="Y76" s="33">
        <v>200000</v>
      </c>
      <c r="Z76" s="32">
        <v>0</v>
      </c>
      <c r="AA76" s="33">
        <f t="shared" si="44"/>
        <v>0</v>
      </c>
      <c r="AB76" s="33">
        <v>200000</v>
      </c>
      <c r="AC76" s="32">
        <v>0</v>
      </c>
      <c r="AD76" s="33">
        <f t="shared" si="45"/>
        <v>0</v>
      </c>
      <c r="AE76" s="33">
        <v>200000</v>
      </c>
      <c r="AF76" s="32">
        <v>0</v>
      </c>
      <c r="AG76" s="33">
        <f t="shared" si="46"/>
        <v>0</v>
      </c>
      <c r="AH76" s="33">
        <v>200000</v>
      </c>
      <c r="AI76" s="26">
        <v>0</v>
      </c>
      <c r="AJ76" s="33">
        <f t="shared" si="47"/>
        <v>0</v>
      </c>
    </row>
    <row r="77" spans="1:36" ht="17.25">
      <c r="B77" s="32" t="s">
        <v>241</v>
      </c>
      <c r="C77" s="33">
        <v>147700</v>
      </c>
      <c r="D77" s="32">
        <v>0</v>
      </c>
      <c r="E77" s="33">
        <f t="shared" si="38"/>
        <v>0</v>
      </c>
      <c r="F77" s="33">
        <v>147700</v>
      </c>
      <c r="G77" s="32">
        <v>0</v>
      </c>
      <c r="H77" s="33">
        <f t="shared" si="39"/>
        <v>0</v>
      </c>
      <c r="I77" s="33">
        <v>147700</v>
      </c>
      <c r="J77" s="32">
        <v>0</v>
      </c>
      <c r="K77" s="33">
        <f t="shared" si="40"/>
        <v>0</v>
      </c>
      <c r="L77" s="33">
        <v>147700</v>
      </c>
      <c r="M77" s="32">
        <v>0</v>
      </c>
      <c r="N77" s="33">
        <f t="shared" si="41"/>
        <v>0</v>
      </c>
      <c r="O77" s="33">
        <v>147700</v>
      </c>
      <c r="P77" s="26">
        <v>0</v>
      </c>
      <c r="Q77" s="33">
        <f t="shared" si="42"/>
        <v>0</v>
      </c>
      <c r="R77" s="28"/>
      <c r="U77" s="32" t="s">
        <v>241</v>
      </c>
      <c r="V77" s="33">
        <v>147700</v>
      </c>
      <c r="W77" s="32">
        <v>0</v>
      </c>
      <c r="X77" s="33">
        <f t="shared" si="43"/>
        <v>0</v>
      </c>
      <c r="Y77" s="33">
        <v>147700</v>
      </c>
      <c r="Z77" s="32">
        <v>0</v>
      </c>
      <c r="AA77" s="33">
        <f t="shared" si="44"/>
        <v>0</v>
      </c>
      <c r="AB77" s="33">
        <v>147700</v>
      </c>
      <c r="AC77" s="32">
        <v>0</v>
      </c>
      <c r="AD77" s="33">
        <f t="shared" si="45"/>
        <v>0</v>
      </c>
      <c r="AE77" s="33">
        <v>147700</v>
      </c>
      <c r="AF77" s="32">
        <v>0</v>
      </c>
      <c r="AG77" s="33">
        <f t="shared" si="46"/>
        <v>0</v>
      </c>
      <c r="AH77" s="33">
        <v>147700</v>
      </c>
      <c r="AI77" s="26">
        <v>0</v>
      </c>
      <c r="AJ77" s="33">
        <f t="shared" si="47"/>
        <v>0</v>
      </c>
    </row>
    <row r="78" spans="1:36">
      <c r="B78" s="35"/>
      <c r="C78" s="35"/>
      <c r="D78" s="31" t="s">
        <v>48</v>
      </c>
      <c r="E78" s="36">
        <f>SUM(E69:E77)</f>
        <v>355758470</v>
      </c>
      <c r="F78" s="35"/>
      <c r="G78" s="31" t="s">
        <v>48</v>
      </c>
      <c r="H78" s="55">
        <f>SUM(H69:H77)</f>
        <v>253058290</v>
      </c>
      <c r="I78" s="35"/>
      <c r="J78" s="31" t="s">
        <v>48</v>
      </c>
      <c r="K78" s="36">
        <f>SUM(K69:K77)</f>
        <v>250741623.33333334</v>
      </c>
      <c r="L78" s="33"/>
      <c r="M78" s="32"/>
      <c r="N78" s="36">
        <f>SUM(N69:N77)</f>
        <v>42965470</v>
      </c>
      <c r="O78" s="35"/>
      <c r="P78" s="31" t="s">
        <v>48</v>
      </c>
      <c r="Q78" s="36">
        <f>SUM(Q69:Q77)</f>
        <v>36625470</v>
      </c>
      <c r="R78" s="48"/>
      <c r="U78" s="35"/>
      <c r="V78" s="35"/>
      <c r="W78" s="31" t="s">
        <v>48</v>
      </c>
      <c r="X78" s="36">
        <f>SUM(X69:X77)</f>
        <v>355758470</v>
      </c>
      <c r="Y78" s="35"/>
      <c r="Z78" s="31" t="s">
        <v>48</v>
      </c>
      <c r="AA78" s="51">
        <f>SUM(AA69:AA77)</f>
        <v>253058290</v>
      </c>
      <c r="AB78" s="35"/>
      <c r="AC78" s="31" t="s">
        <v>48</v>
      </c>
      <c r="AD78" s="36">
        <f>SUM(AD69:AD77)</f>
        <v>250741623.33333334</v>
      </c>
      <c r="AE78" s="33"/>
      <c r="AF78" s="32"/>
      <c r="AG78" s="36">
        <f>SUM(AG69:AG77)</f>
        <v>42965470</v>
      </c>
      <c r="AH78" s="35"/>
      <c r="AI78" s="31" t="s">
        <v>48</v>
      </c>
      <c r="AJ78" s="36">
        <f>SUM(AJ69:AJ77)</f>
        <v>36625470</v>
      </c>
    </row>
    <row r="79" spans="1:36">
      <c r="K79" s="49"/>
      <c r="L79" s="49"/>
      <c r="M79" s="49" t="s">
        <v>20</v>
      </c>
      <c r="N79" s="49">
        <f>(E78+H78+K78+N78+Q78)/27</f>
        <v>34783308.27160494</v>
      </c>
      <c r="O79" s="49"/>
      <c r="P79" s="49"/>
      <c r="Q79" s="49"/>
      <c r="R79" s="49"/>
      <c r="AD79" s="49"/>
      <c r="AF79" s="49" t="s">
        <v>20</v>
      </c>
      <c r="AG79" s="49">
        <f>(X78+AA78+AD78+AG78+AJ78)/27</f>
        <v>34783308.27160494</v>
      </c>
    </row>
    <row r="80" spans="1:36">
      <c r="K80" s="49"/>
      <c r="L80" s="49"/>
      <c r="M80" s="49"/>
      <c r="N80" s="49"/>
      <c r="O80" s="49"/>
      <c r="P80" s="49"/>
      <c r="Q80" s="49"/>
      <c r="R80" s="49"/>
      <c r="AD80" s="49"/>
    </row>
    <row r="81" spans="1:36">
      <c r="E81" s="56"/>
      <c r="H81" s="56"/>
      <c r="K81" s="56"/>
      <c r="L81" s="56"/>
      <c r="M81" s="56"/>
      <c r="N81" s="56"/>
      <c r="O81" s="56"/>
      <c r="P81" s="56"/>
      <c r="Q81" s="56"/>
      <c r="R81" s="56"/>
      <c r="AD81" s="49"/>
    </row>
    <row r="82" spans="1:36">
      <c r="H82" s="28"/>
      <c r="K82" s="49"/>
      <c r="L82" s="49"/>
      <c r="M82" s="49"/>
      <c r="N82" s="49"/>
      <c r="O82" s="49"/>
      <c r="P82" s="49"/>
      <c r="Q82" s="49"/>
      <c r="R82" s="49"/>
      <c r="AD82" s="49"/>
    </row>
    <row r="83" spans="1:36" hidden="1">
      <c r="B83" s="57" t="s">
        <v>5</v>
      </c>
      <c r="C83" s="57" t="s">
        <v>266</v>
      </c>
      <c r="D83" s="57"/>
      <c r="E83" s="57" t="s">
        <v>267</v>
      </c>
      <c r="F83" s="58" t="s">
        <v>268</v>
      </c>
      <c r="G83" s="59"/>
      <c r="K83" s="49"/>
      <c r="L83" s="49"/>
      <c r="M83" s="49"/>
      <c r="N83" s="49"/>
      <c r="O83" s="49"/>
      <c r="P83" s="49"/>
      <c r="Q83" s="49"/>
      <c r="R83" s="49"/>
      <c r="AD83" s="49"/>
    </row>
    <row r="84" spans="1:36" hidden="1">
      <c r="B84" s="57" t="s">
        <v>10</v>
      </c>
      <c r="C84" s="57">
        <v>1</v>
      </c>
      <c r="D84" s="57"/>
      <c r="E84" s="57">
        <f>C84*22</f>
        <v>22</v>
      </c>
      <c r="F84" s="60" t="s">
        <v>269</v>
      </c>
      <c r="G84" s="59"/>
      <c r="K84" s="49"/>
      <c r="L84" s="49" t="s">
        <v>270</v>
      </c>
      <c r="M84" s="49"/>
      <c r="N84" s="49"/>
      <c r="O84" s="49"/>
      <c r="P84" s="49"/>
      <c r="Q84" s="49"/>
      <c r="R84" s="49"/>
      <c r="AD84" s="49"/>
    </row>
    <row r="85" spans="1:36" hidden="1">
      <c r="B85" s="57" t="s">
        <v>15</v>
      </c>
      <c r="C85" s="57">
        <f>40*3/60</f>
        <v>2</v>
      </c>
      <c r="D85" s="57"/>
      <c r="E85" s="57">
        <f>C85*22</f>
        <v>44</v>
      </c>
      <c r="F85" s="60" t="s">
        <v>271</v>
      </c>
      <c r="L85" s="29" t="s">
        <v>3</v>
      </c>
      <c r="M85" s="59" t="s">
        <v>272</v>
      </c>
      <c r="N85" s="29" t="s">
        <v>273</v>
      </c>
    </row>
    <row r="86" spans="1:36" hidden="1">
      <c r="B86" s="57" t="s">
        <v>17</v>
      </c>
      <c r="C86" s="57">
        <f>40/60</f>
        <v>0.66666666666666663</v>
      </c>
      <c r="D86" s="57"/>
      <c r="E86" s="57">
        <f>C86*22</f>
        <v>14.666666666666666</v>
      </c>
      <c r="F86" s="60" t="s">
        <v>274</v>
      </c>
      <c r="L86" s="29" t="s">
        <v>42</v>
      </c>
      <c r="M86" s="29" t="s">
        <v>275</v>
      </c>
      <c r="N86" s="29" t="s">
        <v>276</v>
      </c>
    </row>
    <row r="88" spans="1:36" ht="17.25">
      <c r="B88" s="340" t="s">
        <v>7</v>
      </c>
      <c r="C88" s="330" t="s">
        <v>10</v>
      </c>
      <c r="D88" s="331"/>
      <c r="E88" s="332"/>
      <c r="F88" s="330" t="s">
        <v>251</v>
      </c>
      <c r="G88" s="331"/>
      <c r="H88" s="332"/>
      <c r="I88" s="330" t="s">
        <v>17</v>
      </c>
      <c r="J88" s="331"/>
      <c r="K88" s="332"/>
      <c r="L88" s="330" t="s">
        <v>252</v>
      </c>
      <c r="M88" s="331"/>
      <c r="N88" s="332"/>
      <c r="O88" s="367" t="s">
        <v>292</v>
      </c>
      <c r="P88" s="368"/>
      <c r="Q88" s="369"/>
      <c r="R88" s="46"/>
      <c r="U88" s="340" t="s">
        <v>7</v>
      </c>
      <c r="V88" s="330" t="s">
        <v>10</v>
      </c>
      <c r="W88" s="331"/>
      <c r="X88" s="332"/>
      <c r="Y88" s="330" t="s">
        <v>15</v>
      </c>
      <c r="Z88" s="331"/>
      <c r="AA88" s="332"/>
      <c r="AB88" s="330" t="s">
        <v>17</v>
      </c>
      <c r="AC88" s="331"/>
      <c r="AD88" s="332"/>
      <c r="AE88" s="330" t="s">
        <v>252</v>
      </c>
      <c r="AF88" s="331"/>
      <c r="AG88" s="332"/>
      <c r="AH88" s="330" t="s">
        <v>17</v>
      </c>
      <c r="AI88" s="331"/>
      <c r="AJ88" s="332"/>
    </row>
    <row r="89" spans="1:36">
      <c r="A89" s="39" t="s">
        <v>344</v>
      </c>
      <c r="B89" s="341"/>
      <c r="C89" s="30" t="s">
        <v>180</v>
      </c>
      <c r="D89" s="31" t="s">
        <v>41</v>
      </c>
      <c r="E89" s="31" t="s">
        <v>44</v>
      </c>
      <c r="F89" s="30" t="s">
        <v>180</v>
      </c>
      <c r="G89" s="31" t="s">
        <v>41</v>
      </c>
      <c r="H89" s="31" t="s">
        <v>44</v>
      </c>
      <c r="I89" s="30" t="s">
        <v>180</v>
      </c>
      <c r="J89" s="31" t="s">
        <v>41</v>
      </c>
      <c r="K89" s="31" t="s">
        <v>44</v>
      </c>
      <c r="L89" s="30" t="s">
        <v>180</v>
      </c>
      <c r="M89" s="31" t="s">
        <v>41</v>
      </c>
      <c r="N89" s="31" t="s">
        <v>44</v>
      </c>
      <c r="O89" s="30" t="s">
        <v>180</v>
      </c>
      <c r="P89" s="31" t="s">
        <v>41</v>
      </c>
      <c r="Q89" s="31" t="s">
        <v>44</v>
      </c>
      <c r="R89" s="46"/>
      <c r="U89" s="341"/>
      <c r="V89" s="30" t="s">
        <v>180</v>
      </c>
      <c r="W89" s="31" t="s">
        <v>41</v>
      </c>
      <c r="X89" s="31" t="s">
        <v>44</v>
      </c>
      <c r="Y89" s="30" t="s">
        <v>180</v>
      </c>
      <c r="Z89" s="31" t="s">
        <v>41</v>
      </c>
      <c r="AA89" s="31" t="s">
        <v>44</v>
      </c>
      <c r="AB89" s="30" t="s">
        <v>180</v>
      </c>
      <c r="AC89" s="31" t="s">
        <v>41</v>
      </c>
      <c r="AD89" s="31" t="s">
        <v>44</v>
      </c>
      <c r="AE89" s="30" t="s">
        <v>180</v>
      </c>
      <c r="AF89" s="31" t="s">
        <v>41</v>
      </c>
      <c r="AG89" s="31" t="s">
        <v>44</v>
      </c>
      <c r="AH89" s="30" t="s">
        <v>180</v>
      </c>
      <c r="AI89" s="31" t="s">
        <v>41</v>
      </c>
      <c r="AJ89" s="31" t="s">
        <v>44</v>
      </c>
    </row>
    <row r="90" spans="1:36" ht="17.25">
      <c r="B90" s="32" t="s">
        <v>233</v>
      </c>
      <c r="C90" s="33">
        <v>32596768</v>
      </c>
      <c r="D90" s="32">
        <v>11</v>
      </c>
      <c r="E90" s="33">
        <f t="shared" ref="E90:E98" si="48">+C90*D90</f>
        <v>358564448</v>
      </c>
      <c r="F90" s="33">
        <v>32809157</v>
      </c>
      <c r="G90" s="32">
        <v>7</v>
      </c>
      <c r="H90" s="33">
        <f t="shared" ref="H90:H98" si="49">+F90*G90</f>
        <v>229664099</v>
      </c>
      <c r="I90" s="33">
        <v>32809157</v>
      </c>
      <c r="J90" s="32">
        <v>7</v>
      </c>
      <c r="K90" s="33">
        <f t="shared" ref="K90:K98" si="50">+I90*J90</f>
        <v>229664099</v>
      </c>
      <c r="L90" s="33">
        <v>33361262</v>
      </c>
      <c r="M90" s="32">
        <v>1</v>
      </c>
      <c r="N90" s="33">
        <f t="shared" ref="N90:N98" si="51">+L90*M90</f>
        <v>33361262</v>
      </c>
      <c r="O90" s="33">
        <v>32809157</v>
      </c>
      <c r="P90" s="26">
        <v>1</v>
      </c>
      <c r="Q90" s="33">
        <f t="shared" ref="Q90:Q98" si="52">+O90*P90</f>
        <v>32809157</v>
      </c>
      <c r="R90" s="28"/>
      <c r="U90" s="32" t="s">
        <v>233</v>
      </c>
      <c r="V90" s="33">
        <v>32596768</v>
      </c>
      <c r="W90" s="32">
        <v>11</v>
      </c>
      <c r="X90" s="33">
        <f t="shared" ref="X90:X98" si="53">+V90*W90</f>
        <v>358564448</v>
      </c>
      <c r="Y90" s="33">
        <v>32809157</v>
      </c>
      <c r="Z90" s="32">
        <v>7</v>
      </c>
      <c r="AA90" s="33">
        <f t="shared" ref="AA90:AA98" si="54">+Y90*Z90</f>
        <v>229664099</v>
      </c>
      <c r="AB90" s="33">
        <v>32809157</v>
      </c>
      <c r="AC90" s="32">
        <v>7</v>
      </c>
      <c r="AD90" s="33">
        <f t="shared" ref="AD90:AD98" si="55">+AB90*AC90</f>
        <v>229664099</v>
      </c>
      <c r="AE90" s="33">
        <v>33361262</v>
      </c>
      <c r="AF90" s="32">
        <v>1</v>
      </c>
      <c r="AG90" s="33">
        <f t="shared" ref="AG90:AG98" si="56">+AE90*AF90</f>
        <v>33361262</v>
      </c>
      <c r="AH90" s="33">
        <v>32809157</v>
      </c>
      <c r="AI90" s="26">
        <v>1</v>
      </c>
      <c r="AJ90" s="33">
        <f t="shared" ref="AJ90:AJ98" si="57">+AH90*AI90</f>
        <v>32809157</v>
      </c>
    </row>
    <row r="91" spans="1:36" ht="17.25">
      <c r="B91" s="32" t="s">
        <v>234</v>
      </c>
      <c r="C91" s="33">
        <v>4253760</v>
      </c>
      <c r="D91" s="32">
        <v>11</v>
      </c>
      <c r="E91" s="33">
        <f t="shared" si="48"/>
        <v>46791360</v>
      </c>
      <c r="F91" s="33">
        <v>5715990</v>
      </c>
      <c r="G91" s="32">
        <v>7</v>
      </c>
      <c r="H91" s="33">
        <f t="shared" si="49"/>
        <v>40011930</v>
      </c>
      <c r="I91" s="33">
        <v>5715990</v>
      </c>
      <c r="J91" s="32">
        <v>7</v>
      </c>
      <c r="K91" s="33">
        <f t="shared" si="50"/>
        <v>40011930</v>
      </c>
      <c r="L91" s="33">
        <v>5981850</v>
      </c>
      <c r="M91" s="32">
        <v>1</v>
      </c>
      <c r="N91" s="33">
        <f t="shared" si="51"/>
        <v>5981850</v>
      </c>
      <c r="O91" s="33">
        <v>5715990</v>
      </c>
      <c r="P91" s="26">
        <v>1</v>
      </c>
      <c r="Q91" s="33">
        <f t="shared" si="52"/>
        <v>5715990</v>
      </c>
      <c r="R91" s="28"/>
      <c r="U91" s="32" t="s">
        <v>234</v>
      </c>
      <c r="V91" s="33">
        <v>4253760</v>
      </c>
      <c r="W91" s="32">
        <v>11</v>
      </c>
      <c r="X91" s="33">
        <f t="shared" si="53"/>
        <v>46791360</v>
      </c>
      <c r="Y91" s="33">
        <v>5715990</v>
      </c>
      <c r="Z91" s="32">
        <v>7</v>
      </c>
      <c r="AA91" s="33">
        <f t="shared" si="54"/>
        <v>40011930</v>
      </c>
      <c r="AB91" s="33">
        <v>5715990</v>
      </c>
      <c r="AC91" s="32">
        <v>7</v>
      </c>
      <c r="AD91" s="33">
        <f t="shared" si="55"/>
        <v>40011930</v>
      </c>
      <c r="AE91" s="33">
        <v>5981850</v>
      </c>
      <c r="AF91" s="32">
        <v>1</v>
      </c>
      <c r="AG91" s="33">
        <f t="shared" si="56"/>
        <v>5981850</v>
      </c>
      <c r="AH91" s="33">
        <v>5715990</v>
      </c>
      <c r="AI91" s="26">
        <v>1</v>
      </c>
      <c r="AJ91" s="33">
        <f t="shared" si="57"/>
        <v>5715990</v>
      </c>
    </row>
    <row r="92" spans="1:36" ht="17.25">
      <c r="B92" s="32" t="s">
        <v>235</v>
      </c>
      <c r="C92" s="33">
        <v>7000</v>
      </c>
      <c r="D92" s="32">
        <v>0</v>
      </c>
      <c r="E92" s="33">
        <f t="shared" si="48"/>
        <v>0</v>
      </c>
      <c r="F92" s="33">
        <v>7000</v>
      </c>
      <c r="G92" s="32">
        <v>0</v>
      </c>
      <c r="H92" s="33">
        <f t="shared" si="49"/>
        <v>0</v>
      </c>
      <c r="I92" s="33">
        <v>7000</v>
      </c>
      <c r="J92" s="32">
        <v>0</v>
      </c>
      <c r="K92" s="33">
        <f t="shared" si="50"/>
        <v>0</v>
      </c>
      <c r="L92" s="33">
        <v>7000</v>
      </c>
      <c r="M92" s="32">
        <v>0</v>
      </c>
      <c r="N92" s="33">
        <f t="shared" si="51"/>
        <v>0</v>
      </c>
      <c r="O92" s="33">
        <v>7000</v>
      </c>
      <c r="P92" s="27">
        <v>0</v>
      </c>
      <c r="Q92" s="33">
        <f t="shared" si="52"/>
        <v>0</v>
      </c>
      <c r="R92" s="28"/>
      <c r="U92" s="32" t="s">
        <v>235</v>
      </c>
      <c r="V92" s="33">
        <v>6000</v>
      </c>
      <c r="W92" s="32">
        <v>0</v>
      </c>
      <c r="X92" s="33">
        <f t="shared" si="53"/>
        <v>0</v>
      </c>
      <c r="Y92" s="33">
        <v>4500</v>
      </c>
      <c r="Z92" s="32">
        <v>0</v>
      </c>
      <c r="AA92" s="33">
        <f t="shared" si="54"/>
        <v>0</v>
      </c>
      <c r="AB92" s="33">
        <v>4500</v>
      </c>
      <c r="AC92" s="32">
        <v>0</v>
      </c>
      <c r="AD92" s="33">
        <f t="shared" si="55"/>
        <v>0</v>
      </c>
      <c r="AE92" s="33">
        <v>4500</v>
      </c>
      <c r="AF92" s="32">
        <v>0</v>
      </c>
      <c r="AG92" s="33">
        <f t="shared" si="56"/>
        <v>0</v>
      </c>
      <c r="AH92" s="33">
        <v>4500</v>
      </c>
      <c r="AI92" s="27">
        <v>0</v>
      </c>
      <c r="AJ92" s="33">
        <f t="shared" si="57"/>
        <v>0</v>
      </c>
    </row>
    <row r="93" spans="1:36" ht="17.25">
      <c r="B93" s="32" t="s">
        <v>236</v>
      </c>
      <c r="C93" s="33">
        <v>55000</v>
      </c>
      <c r="D93" s="32">
        <v>155</v>
      </c>
      <c r="E93" s="33">
        <f t="shared" si="48"/>
        <v>8525000</v>
      </c>
      <c r="F93" s="33">
        <v>55000</v>
      </c>
      <c r="G93" s="44">
        <f>G72</f>
        <v>174</v>
      </c>
      <c r="H93" s="33">
        <f t="shared" si="49"/>
        <v>9570000</v>
      </c>
      <c r="I93" s="33">
        <v>55000</v>
      </c>
      <c r="J93" s="44">
        <f>J72</f>
        <v>122.33333333333333</v>
      </c>
      <c r="K93" s="33">
        <f t="shared" si="50"/>
        <v>6728333.333333333</v>
      </c>
      <c r="L93" s="33">
        <v>55000</v>
      </c>
      <c r="M93" s="47">
        <v>62</v>
      </c>
      <c r="N93" s="33">
        <f t="shared" si="51"/>
        <v>3410000</v>
      </c>
      <c r="O93" s="33">
        <v>55000</v>
      </c>
      <c r="P93" s="26">
        <v>25</v>
      </c>
      <c r="Q93" s="33">
        <f t="shared" si="52"/>
        <v>1375000</v>
      </c>
      <c r="R93" s="28"/>
      <c r="U93" s="32" t="s">
        <v>236</v>
      </c>
      <c r="V93" s="33">
        <v>55000</v>
      </c>
      <c r="W93" s="32">
        <f>D93</f>
        <v>155</v>
      </c>
      <c r="X93" s="33">
        <f t="shared" si="53"/>
        <v>8525000</v>
      </c>
      <c r="Y93" s="33">
        <v>55000</v>
      </c>
      <c r="Z93" s="44">
        <f>G93</f>
        <v>174</v>
      </c>
      <c r="AA93" s="33">
        <f t="shared" si="54"/>
        <v>9570000</v>
      </c>
      <c r="AB93" s="33">
        <v>55000</v>
      </c>
      <c r="AC93" s="44">
        <f>J93</f>
        <v>122.33333333333333</v>
      </c>
      <c r="AD93" s="33">
        <f t="shared" si="55"/>
        <v>6728333.333333333</v>
      </c>
      <c r="AE93" s="33">
        <v>55000</v>
      </c>
      <c r="AF93" s="47">
        <v>62</v>
      </c>
      <c r="AG93" s="33">
        <f t="shared" si="56"/>
        <v>3410000</v>
      </c>
      <c r="AH93" s="33">
        <v>55000</v>
      </c>
      <c r="AI93" s="26">
        <v>25</v>
      </c>
      <c r="AJ93" s="33">
        <f t="shared" si="57"/>
        <v>1375000</v>
      </c>
    </row>
    <row r="94" spans="1:36" ht="17.25">
      <c r="B94" s="32" t="s">
        <v>237</v>
      </c>
      <c r="C94" s="33">
        <v>1300000</v>
      </c>
      <c r="D94" s="32">
        <v>3</v>
      </c>
      <c r="E94" s="33">
        <f t="shared" si="48"/>
        <v>3900000</v>
      </c>
      <c r="F94" s="33">
        <v>1300000</v>
      </c>
      <c r="G94" s="32">
        <v>1</v>
      </c>
      <c r="H94" s="33">
        <f t="shared" si="49"/>
        <v>1300000</v>
      </c>
      <c r="I94" s="33">
        <v>1300000</v>
      </c>
      <c r="J94" s="32">
        <v>2</v>
      </c>
      <c r="K94" s="33">
        <f t="shared" si="50"/>
        <v>2600000</v>
      </c>
      <c r="L94" s="33">
        <v>1300000</v>
      </c>
      <c r="M94" s="32">
        <v>3</v>
      </c>
      <c r="N94" s="33">
        <f t="shared" si="51"/>
        <v>3900000</v>
      </c>
      <c r="O94" s="33">
        <v>1300000</v>
      </c>
      <c r="P94" s="26">
        <v>0.5</v>
      </c>
      <c r="Q94" s="33">
        <f t="shared" si="52"/>
        <v>650000</v>
      </c>
      <c r="R94" s="28"/>
      <c r="U94" s="32" t="s">
        <v>237</v>
      </c>
      <c r="V94" s="33">
        <v>1150000</v>
      </c>
      <c r="W94" s="32">
        <v>3</v>
      </c>
      <c r="X94" s="33">
        <f t="shared" si="53"/>
        <v>3450000</v>
      </c>
      <c r="Y94" s="33">
        <v>950000</v>
      </c>
      <c r="Z94" s="32">
        <v>1</v>
      </c>
      <c r="AA94" s="33">
        <f t="shared" si="54"/>
        <v>950000</v>
      </c>
      <c r="AB94" s="33">
        <v>950000</v>
      </c>
      <c r="AC94" s="32">
        <v>2</v>
      </c>
      <c r="AD94" s="33">
        <f t="shared" si="55"/>
        <v>1900000</v>
      </c>
      <c r="AE94" s="33">
        <v>950000</v>
      </c>
      <c r="AF94" s="32">
        <v>3</v>
      </c>
      <c r="AG94" s="33">
        <f t="shared" si="56"/>
        <v>2850000</v>
      </c>
      <c r="AH94" s="33">
        <v>950000</v>
      </c>
      <c r="AI94" s="26">
        <v>0.5</v>
      </c>
      <c r="AJ94" s="33">
        <f t="shared" si="57"/>
        <v>475000</v>
      </c>
    </row>
    <row r="95" spans="1:36" ht="17.25">
      <c r="B95" s="32" t="s">
        <v>238</v>
      </c>
      <c r="C95" s="33">
        <v>950000</v>
      </c>
      <c r="D95" s="32">
        <v>0</v>
      </c>
      <c r="E95" s="33">
        <f t="shared" si="48"/>
        <v>0</v>
      </c>
      <c r="F95" s="33">
        <v>950000</v>
      </c>
      <c r="G95" s="32">
        <v>0</v>
      </c>
      <c r="H95" s="33">
        <f t="shared" si="49"/>
        <v>0</v>
      </c>
      <c r="I95" s="33">
        <v>950000</v>
      </c>
      <c r="J95" s="32">
        <v>0</v>
      </c>
      <c r="K95" s="33">
        <f t="shared" si="50"/>
        <v>0</v>
      </c>
      <c r="L95" s="33">
        <v>950000</v>
      </c>
      <c r="M95" s="32">
        <v>0</v>
      </c>
      <c r="N95" s="33">
        <f t="shared" si="51"/>
        <v>0</v>
      </c>
      <c r="O95" s="33">
        <v>950000</v>
      </c>
      <c r="P95" s="26">
        <v>0</v>
      </c>
      <c r="Q95" s="33">
        <f t="shared" si="52"/>
        <v>0</v>
      </c>
      <c r="R95" s="28"/>
      <c r="U95" s="32" t="s">
        <v>238</v>
      </c>
      <c r="V95" s="33">
        <v>900000</v>
      </c>
      <c r="W95" s="32">
        <v>0</v>
      </c>
      <c r="X95" s="33">
        <f t="shared" si="53"/>
        <v>0</v>
      </c>
      <c r="Y95" s="33">
        <v>800000</v>
      </c>
      <c r="Z95" s="32">
        <v>0</v>
      </c>
      <c r="AA95" s="33">
        <f t="shared" si="54"/>
        <v>0</v>
      </c>
      <c r="AB95" s="33">
        <v>800000</v>
      </c>
      <c r="AC95" s="32">
        <v>0</v>
      </c>
      <c r="AD95" s="33">
        <f t="shared" si="55"/>
        <v>0</v>
      </c>
      <c r="AE95" s="33">
        <v>800000</v>
      </c>
      <c r="AF95" s="32">
        <v>0</v>
      </c>
      <c r="AG95" s="33">
        <f t="shared" si="56"/>
        <v>0</v>
      </c>
      <c r="AH95" s="33">
        <v>800000</v>
      </c>
      <c r="AI95" s="26">
        <v>0</v>
      </c>
      <c r="AJ95" s="33">
        <f t="shared" si="57"/>
        <v>0</v>
      </c>
    </row>
    <row r="96" spans="1:36" ht="17.25">
      <c r="B96" s="32" t="s">
        <v>239</v>
      </c>
      <c r="C96" s="33">
        <v>300000</v>
      </c>
      <c r="D96" s="32">
        <v>0</v>
      </c>
      <c r="E96" s="33">
        <f t="shared" si="48"/>
        <v>0</v>
      </c>
      <c r="F96" s="33">
        <v>300000</v>
      </c>
      <c r="G96" s="32">
        <v>0</v>
      </c>
      <c r="H96" s="33">
        <f t="shared" si="49"/>
        <v>0</v>
      </c>
      <c r="I96" s="33">
        <v>300000</v>
      </c>
      <c r="J96" s="32">
        <v>0</v>
      </c>
      <c r="K96" s="33">
        <f t="shared" si="50"/>
        <v>0</v>
      </c>
      <c r="L96" s="33">
        <v>300000</v>
      </c>
      <c r="M96" s="32">
        <v>0</v>
      </c>
      <c r="N96" s="33">
        <f t="shared" si="51"/>
        <v>0</v>
      </c>
      <c r="O96" s="33">
        <v>300000</v>
      </c>
      <c r="P96" s="26">
        <v>0</v>
      </c>
      <c r="Q96" s="33">
        <f t="shared" si="52"/>
        <v>0</v>
      </c>
      <c r="R96" s="28"/>
      <c r="U96" s="32" t="s">
        <v>239</v>
      </c>
      <c r="V96" s="33">
        <v>300000</v>
      </c>
      <c r="W96" s="32">
        <v>0</v>
      </c>
      <c r="X96" s="33">
        <f t="shared" si="53"/>
        <v>0</v>
      </c>
      <c r="Y96" s="33">
        <v>300000</v>
      </c>
      <c r="Z96" s="32">
        <v>0</v>
      </c>
      <c r="AA96" s="33">
        <f t="shared" si="54"/>
        <v>0</v>
      </c>
      <c r="AB96" s="33">
        <v>300000</v>
      </c>
      <c r="AC96" s="32">
        <v>0</v>
      </c>
      <c r="AD96" s="33">
        <f t="shared" si="55"/>
        <v>0</v>
      </c>
      <c r="AE96" s="33">
        <v>300000</v>
      </c>
      <c r="AF96" s="32">
        <v>0</v>
      </c>
      <c r="AG96" s="33">
        <f t="shared" si="56"/>
        <v>0</v>
      </c>
      <c r="AH96" s="33">
        <v>300000</v>
      </c>
      <c r="AI96" s="26">
        <v>0</v>
      </c>
      <c r="AJ96" s="33">
        <f t="shared" si="57"/>
        <v>0</v>
      </c>
    </row>
    <row r="97" spans="2:36" ht="17.25">
      <c r="B97" s="32" t="s">
        <v>240</v>
      </c>
      <c r="C97" s="33">
        <v>500000</v>
      </c>
      <c r="D97" s="32">
        <v>0</v>
      </c>
      <c r="E97" s="33">
        <f t="shared" si="48"/>
        <v>0</v>
      </c>
      <c r="F97" s="33">
        <v>500000</v>
      </c>
      <c r="G97" s="32">
        <v>0</v>
      </c>
      <c r="H97" s="33">
        <f t="shared" si="49"/>
        <v>0</v>
      </c>
      <c r="I97" s="33">
        <v>500000</v>
      </c>
      <c r="J97" s="32">
        <v>0</v>
      </c>
      <c r="K97" s="33">
        <f t="shared" si="50"/>
        <v>0</v>
      </c>
      <c r="L97" s="33">
        <v>500000</v>
      </c>
      <c r="M97" s="32">
        <v>0</v>
      </c>
      <c r="N97" s="33">
        <f t="shared" si="51"/>
        <v>0</v>
      </c>
      <c r="O97" s="33">
        <v>500000</v>
      </c>
      <c r="P97" s="26">
        <v>0</v>
      </c>
      <c r="Q97" s="33">
        <f t="shared" si="52"/>
        <v>0</v>
      </c>
      <c r="R97" s="28"/>
      <c r="U97" s="32" t="s">
        <v>240</v>
      </c>
      <c r="V97" s="33">
        <v>500000</v>
      </c>
      <c r="W97" s="32">
        <v>0</v>
      </c>
      <c r="X97" s="33">
        <f t="shared" si="53"/>
        <v>0</v>
      </c>
      <c r="Y97" s="33">
        <v>500000</v>
      </c>
      <c r="Z97" s="32">
        <v>0</v>
      </c>
      <c r="AA97" s="33">
        <f t="shared" si="54"/>
        <v>0</v>
      </c>
      <c r="AB97" s="33">
        <v>500000</v>
      </c>
      <c r="AC97" s="32">
        <v>0</v>
      </c>
      <c r="AD97" s="33">
        <f t="shared" si="55"/>
        <v>0</v>
      </c>
      <c r="AE97" s="33">
        <v>500000</v>
      </c>
      <c r="AF97" s="32">
        <v>0</v>
      </c>
      <c r="AG97" s="33">
        <f t="shared" si="56"/>
        <v>0</v>
      </c>
      <c r="AH97" s="33">
        <v>500000</v>
      </c>
      <c r="AI97" s="26">
        <v>0</v>
      </c>
      <c r="AJ97" s="33">
        <f t="shared" si="57"/>
        <v>0</v>
      </c>
    </row>
    <row r="98" spans="2:36" ht="17.25">
      <c r="B98" s="32" t="s">
        <v>241</v>
      </c>
      <c r="C98" s="33">
        <v>560000</v>
      </c>
      <c r="D98" s="32">
        <v>0</v>
      </c>
      <c r="E98" s="33">
        <f t="shared" si="48"/>
        <v>0</v>
      </c>
      <c r="F98" s="33">
        <v>560000</v>
      </c>
      <c r="G98" s="32">
        <v>0</v>
      </c>
      <c r="H98" s="33">
        <f t="shared" si="49"/>
        <v>0</v>
      </c>
      <c r="I98" s="33">
        <v>560000</v>
      </c>
      <c r="J98" s="32">
        <v>0</v>
      </c>
      <c r="K98" s="33">
        <f t="shared" si="50"/>
        <v>0</v>
      </c>
      <c r="L98" s="33">
        <v>560000</v>
      </c>
      <c r="M98" s="32">
        <v>0</v>
      </c>
      <c r="N98" s="33">
        <f t="shared" si="51"/>
        <v>0</v>
      </c>
      <c r="O98" s="33">
        <v>560000</v>
      </c>
      <c r="P98" s="26">
        <v>0</v>
      </c>
      <c r="Q98" s="33">
        <f t="shared" si="52"/>
        <v>0</v>
      </c>
      <c r="R98" s="28"/>
      <c r="U98" s="32" t="s">
        <v>241</v>
      </c>
      <c r="V98" s="33">
        <v>480000</v>
      </c>
      <c r="W98" s="32">
        <v>0</v>
      </c>
      <c r="X98" s="33">
        <f t="shared" si="53"/>
        <v>0</v>
      </c>
      <c r="Y98" s="33">
        <v>360000</v>
      </c>
      <c r="Z98" s="32">
        <v>0</v>
      </c>
      <c r="AA98" s="33">
        <f t="shared" si="54"/>
        <v>0</v>
      </c>
      <c r="AB98" s="33">
        <v>360000</v>
      </c>
      <c r="AC98" s="32">
        <v>0</v>
      </c>
      <c r="AD98" s="33">
        <f t="shared" si="55"/>
        <v>0</v>
      </c>
      <c r="AE98" s="33">
        <v>360000</v>
      </c>
      <c r="AF98" s="32">
        <v>0</v>
      </c>
      <c r="AG98" s="33">
        <f t="shared" si="56"/>
        <v>0</v>
      </c>
      <c r="AH98" s="33">
        <v>360000</v>
      </c>
      <c r="AI98" s="26">
        <v>0</v>
      </c>
      <c r="AJ98" s="33">
        <f t="shared" si="57"/>
        <v>0</v>
      </c>
    </row>
    <row r="99" spans="2:36">
      <c r="B99" s="35"/>
      <c r="C99" s="35"/>
      <c r="D99" s="31" t="s">
        <v>48</v>
      </c>
      <c r="E99" s="36">
        <f>SUM(E90:E98)</f>
        <v>417780808</v>
      </c>
      <c r="F99" s="36"/>
      <c r="G99" s="31" t="s">
        <v>48</v>
      </c>
      <c r="H99" s="36">
        <f>SUM(H90:H98)</f>
        <v>280546029</v>
      </c>
      <c r="I99" s="36"/>
      <c r="J99" s="31" t="s">
        <v>48</v>
      </c>
      <c r="K99" s="36">
        <f>SUM(K90:K98)</f>
        <v>279004362.33333331</v>
      </c>
      <c r="L99" s="33"/>
      <c r="M99" s="32"/>
      <c r="N99" s="36">
        <f>SUM(N90:N98)</f>
        <v>46653112</v>
      </c>
      <c r="O99" s="36"/>
      <c r="P99" s="31" t="s">
        <v>48</v>
      </c>
      <c r="Q99" s="36">
        <f>SUM(Q90:Q98)</f>
        <v>40550147</v>
      </c>
      <c r="R99" s="48"/>
      <c r="U99" s="35"/>
      <c r="V99" s="35"/>
      <c r="W99" s="31" t="s">
        <v>48</v>
      </c>
      <c r="X99" s="36">
        <f>SUM(X90:X98)</f>
        <v>417330808</v>
      </c>
      <c r="Y99" s="35"/>
      <c r="Z99" s="31" t="s">
        <v>48</v>
      </c>
      <c r="AA99" s="51">
        <f>SUM(AA90:AA98)</f>
        <v>280196029</v>
      </c>
      <c r="AB99" s="35"/>
      <c r="AC99" s="31" t="s">
        <v>48</v>
      </c>
      <c r="AD99" s="36">
        <f>SUM(AD90:AD98)</f>
        <v>278304362.33333331</v>
      </c>
      <c r="AE99" s="33"/>
      <c r="AF99" s="32"/>
      <c r="AG99" s="36">
        <f>SUM(AG90:AG98)</f>
        <v>45603112</v>
      </c>
      <c r="AH99" s="35"/>
      <c r="AI99" s="31" t="s">
        <v>48</v>
      </c>
      <c r="AJ99" s="36">
        <f>SUM(AJ90:AJ98)</f>
        <v>40375147</v>
      </c>
    </row>
    <row r="100" spans="2:36">
      <c r="K100" s="49"/>
      <c r="L100" s="49"/>
      <c r="M100" s="49" t="s">
        <v>20</v>
      </c>
      <c r="N100" s="49">
        <f>(E99+H99+K99+N99+Q99)/27</f>
        <v>39427202.160493821</v>
      </c>
      <c r="O100" s="49"/>
      <c r="P100" s="49"/>
      <c r="Q100" s="49"/>
      <c r="R100" s="49"/>
      <c r="AD100" s="49"/>
      <c r="AF100" s="49" t="s">
        <v>20</v>
      </c>
      <c r="AG100" s="49">
        <f>(X99+AA99+AD99+AG99+AJ99)/27</f>
        <v>39326276.234567896</v>
      </c>
    </row>
    <row r="101" spans="2:36">
      <c r="E101" s="37"/>
      <c r="L101" s="49"/>
      <c r="M101" s="49"/>
      <c r="N101" s="49"/>
      <c r="O101" s="49"/>
      <c r="P101" s="49"/>
      <c r="Q101" s="49"/>
      <c r="R101" s="49"/>
      <c r="AD101" s="49"/>
    </row>
  </sheetData>
  <mergeCells count="64">
    <mergeCell ref="L88:N88"/>
    <mergeCell ref="AH88:AJ88"/>
    <mergeCell ref="B88:B89"/>
    <mergeCell ref="U4:U5"/>
    <mergeCell ref="U20:U21"/>
    <mergeCell ref="U36:U37"/>
    <mergeCell ref="U51:U52"/>
    <mergeCell ref="U67:U68"/>
    <mergeCell ref="U88:U89"/>
    <mergeCell ref="B4:B5"/>
    <mergeCell ref="B20:B21"/>
    <mergeCell ref="B36:B37"/>
    <mergeCell ref="B51:B52"/>
    <mergeCell ref="B67:B68"/>
    <mergeCell ref="C88:E88"/>
    <mergeCell ref="F88:H88"/>
    <mergeCell ref="I88:K88"/>
    <mergeCell ref="O88:Q88"/>
    <mergeCell ref="AH51:AJ51"/>
    <mergeCell ref="C67:E67"/>
    <mergeCell ref="F67:H67"/>
    <mergeCell ref="I67:K67"/>
    <mergeCell ref="L67:N67"/>
    <mergeCell ref="O67:Q67"/>
    <mergeCell ref="V67:X67"/>
    <mergeCell ref="Y67:AA67"/>
    <mergeCell ref="AB67:AD67"/>
    <mergeCell ref="AE67:AG67"/>
    <mergeCell ref="AH67:AJ67"/>
    <mergeCell ref="V88:X88"/>
    <mergeCell ref="Y88:AA88"/>
    <mergeCell ref="AB88:AD88"/>
    <mergeCell ref="AE88:AG88"/>
    <mergeCell ref="AB36:AD36"/>
    <mergeCell ref="AE36:AG36"/>
    <mergeCell ref="C51:E51"/>
    <mergeCell ref="F51:H51"/>
    <mergeCell ref="I51:K51"/>
    <mergeCell ref="L51:N51"/>
    <mergeCell ref="O51:Q51"/>
    <mergeCell ref="V51:X51"/>
    <mergeCell ref="Y51:AA51"/>
    <mergeCell ref="AB51:AD51"/>
    <mergeCell ref="AE51:AG51"/>
    <mergeCell ref="C36:E36"/>
    <mergeCell ref="F36:H36"/>
    <mergeCell ref="I36:K36"/>
    <mergeCell ref="L36:N36"/>
    <mergeCell ref="V36:X36"/>
    <mergeCell ref="Y4:AA4"/>
    <mergeCell ref="AB4:AD4"/>
    <mergeCell ref="C20:E20"/>
    <mergeCell ref="F20:H20"/>
    <mergeCell ref="I20:K20"/>
    <mergeCell ref="L20:N20"/>
    <mergeCell ref="V20:X20"/>
    <mergeCell ref="Y20:AA20"/>
    <mergeCell ref="AB20:AD20"/>
    <mergeCell ref="C4:E4"/>
    <mergeCell ref="F4:H4"/>
    <mergeCell ref="I4:K4"/>
    <mergeCell ref="L4:N4"/>
    <mergeCell ref="V4:X4"/>
    <mergeCell ref="Y36:AA36"/>
  </mergeCells>
  <pageMargins left="0.7" right="0.7" top="0.75" bottom="0.75" header="0.3" footer="0.3"/>
  <pageSetup paperSize="9" scale="33" fitToHeight="0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S204"/>
  <sheetViews>
    <sheetView showGridLines="0" topLeftCell="G20" workbookViewId="0">
      <selection activeCell="K21" sqref="K21"/>
    </sheetView>
  </sheetViews>
  <sheetFormatPr defaultColWidth="9" defaultRowHeight="15"/>
  <cols>
    <col min="2" max="2" width="12.42578125" customWidth="1"/>
    <col min="3" max="3" width="13.5703125" customWidth="1"/>
    <col min="4" max="4" width="17.5703125" customWidth="1"/>
    <col min="5" max="10" width="16.28515625" customWidth="1"/>
    <col min="11" max="11" width="18.28515625" customWidth="1"/>
    <col min="12" max="12" width="14.140625" customWidth="1"/>
    <col min="13" max="19" width="16.28515625" customWidth="1"/>
  </cols>
  <sheetData>
    <row r="2" spans="2:19">
      <c r="M2" s="131"/>
      <c r="N2" s="176" t="s">
        <v>3</v>
      </c>
      <c r="O2" s="176" t="s">
        <v>4</v>
      </c>
      <c r="P2" s="176" t="s">
        <v>6</v>
      </c>
    </row>
    <row r="3" spans="2:19">
      <c r="M3" s="176" t="s">
        <v>121</v>
      </c>
      <c r="N3" s="247">
        <f>+D8</f>
        <v>85121795</v>
      </c>
      <c r="O3" s="247">
        <f>+E8</f>
        <v>148071400</v>
      </c>
      <c r="P3" s="247">
        <f>+G8</f>
        <v>89576433</v>
      </c>
    </row>
    <row r="4" spans="2:19" ht="46.5">
      <c r="B4" s="206" t="s">
        <v>0</v>
      </c>
      <c r="M4" s="162" t="s">
        <v>122</v>
      </c>
      <c r="N4" s="247">
        <f>+D14</f>
        <v>132442071</v>
      </c>
      <c r="O4" s="247">
        <f>+E14</f>
        <v>128871600</v>
      </c>
      <c r="P4" s="247">
        <f>+G14</f>
        <v>107235766</v>
      </c>
    </row>
    <row r="5" spans="2:19">
      <c r="M5" s="176" t="s">
        <v>48</v>
      </c>
      <c r="N5" s="247">
        <f>N3+N4</f>
        <v>217563866</v>
      </c>
      <c r="O5" s="247">
        <f>O3+O4</f>
        <v>276943000</v>
      </c>
      <c r="P5" s="247">
        <f>P3+P4</f>
        <v>196812199</v>
      </c>
    </row>
    <row r="6" spans="2:19">
      <c r="C6" s="22" t="s">
        <v>1</v>
      </c>
      <c r="M6" s="176" t="s">
        <v>43</v>
      </c>
      <c r="N6" s="131"/>
      <c r="O6" s="247">
        <f>+O5-N5</f>
        <v>59379134</v>
      </c>
      <c r="P6" s="247">
        <f>+P5-N5</f>
        <v>-20751667</v>
      </c>
    </row>
    <row r="7" spans="2:19" ht="30">
      <c r="C7" s="207" t="s">
        <v>2</v>
      </c>
      <c r="D7" s="208" t="s">
        <v>3</v>
      </c>
      <c r="E7" s="209" t="s">
        <v>4</v>
      </c>
      <c r="F7" s="208" t="s">
        <v>5</v>
      </c>
      <c r="G7" s="208" t="s">
        <v>6</v>
      </c>
      <c r="H7" s="208" t="s">
        <v>7</v>
      </c>
      <c r="I7" s="208" t="s">
        <v>8</v>
      </c>
      <c r="J7" s="208" t="s">
        <v>9</v>
      </c>
      <c r="O7" s="21">
        <f>+P5-O5</f>
        <v>-80130801</v>
      </c>
    </row>
    <row r="8" spans="2:19" ht="105">
      <c r="C8" s="176" t="s">
        <v>10</v>
      </c>
      <c r="D8" s="204">
        <f>+Lexus!E16</f>
        <v>85121795</v>
      </c>
      <c r="E8" s="210">
        <f>+Lexus!N17</f>
        <v>148071400</v>
      </c>
      <c r="F8" s="211"/>
      <c r="G8" s="204">
        <f>+Lexus!N46</f>
        <v>89576433</v>
      </c>
      <c r="H8" s="204">
        <f>+Lexus!N61</f>
        <v>132247427</v>
      </c>
      <c r="I8" s="250" t="s">
        <v>11</v>
      </c>
      <c r="J8" s="210">
        <f>+E8-D8</f>
        <v>62949605</v>
      </c>
    </row>
    <row r="10" spans="2:19" ht="30">
      <c r="C10" s="207" t="s">
        <v>12</v>
      </c>
      <c r="D10" s="208" t="s">
        <v>3</v>
      </c>
      <c r="E10" s="208" t="s">
        <v>4</v>
      </c>
      <c r="F10" s="208" t="s">
        <v>5</v>
      </c>
      <c r="G10" s="209" t="s">
        <v>6</v>
      </c>
      <c r="H10" s="208" t="s">
        <v>8</v>
      </c>
      <c r="I10" s="208" t="s">
        <v>8</v>
      </c>
      <c r="J10" s="208" t="s">
        <v>9</v>
      </c>
      <c r="L10" s="207" t="s">
        <v>123</v>
      </c>
      <c r="M10" s="208" t="s">
        <v>3</v>
      </c>
      <c r="N10" s="208" t="s">
        <v>4</v>
      </c>
      <c r="O10" s="208" t="s">
        <v>5</v>
      </c>
      <c r="P10" s="208" t="s">
        <v>6</v>
      </c>
      <c r="Q10" s="208" t="s">
        <v>7</v>
      </c>
      <c r="R10" s="208" t="s">
        <v>8</v>
      </c>
      <c r="S10" s="208" t="s">
        <v>9</v>
      </c>
    </row>
    <row r="11" spans="2:19" ht="60">
      <c r="C11" s="176" t="s">
        <v>10</v>
      </c>
      <c r="D11" s="204">
        <f>+'Camry 2.5G'!E16</f>
        <v>42471157</v>
      </c>
      <c r="E11" s="204">
        <f>+'Camry 2.5G'!E31</f>
        <v>40682600</v>
      </c>
      <c r="F11" s="204">
        <f>+'Camry 2.5G'!E46</f>
        <v>35824500</v>
      </c>
      <c r="G11" s="204">
        <f>+'Camry 2.5G'!E60</f>
        <v>33197822</v>
      </c>
      <c r="H11" s="216" t="s">
        <v>14</v>
      </c>
      <c r="I11" s="216" t="s">
        <v>14</v>
      </c>
      <c r="J11" s="204"/>
      <c r="L11" s="176" t="s">
        <v>10</v>
      </c>
      <c r="M11" s="211"/>
      <c r="N11" s="204">
        <f>+'Camry 2.0G'!E29</f>
        <v>44264590</v>
      </c>
      <c r="O11" s="211"/>
      <c r="P11" s="211"/>
      <c r="Q11" s="204">
        <f>+'Camry 2.0G'!E45</f>
        <v>42968280</v>
      </c>
      <c r="R11" s="204"/>
      <c r="S11" s="204"/>
    </row>
    <row r="12" spans="2:19" ht="75">
      <c r="C12" s="176" t="s">
        <v>15</v>
      </c>
      <c r="D12" s="204">
        <f>+'Camry 2.5G'!H16</f>
        <v>45837757</v>
      </c>
      <c r="E12" s="204">
        <f>+'Camry 2.5G'!H31</f>
        <v>45223800</v>
      </c>
      <c r="F12" s="204">
        <f>+'Camry 2.5G'!H46</f>
        <v>41529000</v>
      </c>
      <c r="G12" s="204">
        <f>+'Camry 2.5G'!H60</f>
        <v>38273422</v>
      </c>
      <c r="H12" s="216" t="s">
        <v>16</v>
      </c>
      <c r="I12" s="216" t="s">
        <v>16</v>
      </c>
      <c r="J12" s="204"/>
      <c r="L12" s="176" t="s">
        <v>15</v>
      </c>
      <c r="M12" s="211"/>
      <c r="N12" s="204">
        <f>+'Camry 2.0G'!H29</f>
        <v>48585800</v>
      </c>
      <c r="O12" s="211"/>
      <c r="P12" s="211"/>
      <c r="Q12" s="204">
        <f>+'Camry 2.0G'!H45</f>
        <v>48078804</v>
      </c>
      <c r="R12" s="204"/>
      <c r="S12" s="204"/>
    </row>
    <row r="13" spans="2:19" ht="45">
      <c r="C13" s="176" t="s">
        <v>17</v>
      </c>
      <c r="D13" s="204">
        <f>+'Camry 2.5G'!K16</f>
        <v>44133157</v>
      </c>
      <c r="E13" s="204">
        <f>+'Camry 2.5G'!K31</f>
        <v>42965200</v>
      </c>
      <c r="F13" s="204">
        <f>+'Camry 2.5G'!K46</f>
        <v>39112875</v>
      </c>
      <c r="G13" s="204">
        <f>+'Camry 2.5G'!K60</f>
        <v>35764522</v>
      </c>
      <c r="H13" s="216" t="s">
        <v>18</v>
      </c>
      <c r="I13" s="216" t="s">
        <v>18</v>
      </c>
      <c r="J13" s="204"/>
      <c r="L13" s="176" t="s">
        <v>17</v>
      </c>
      <c r="M13" s="211"/>
      <c r="N13" s="204">
        <f>+'Camry 2.0G'!K29</f>
        <v>45782200</v>
      </c>
      <c r="O13" s="211"/>
      <c r="P13" s="211"/>
      <c r="Q13" s="204">
        <f>+'Camry 2.0G'!K45</f>
        <v>46398804</v>
      </c>
      <c r="R13" s="204"/>
      <c r="S13" s="204"/>
    </row>
    <row r="14" spans="2:19">
      <c r="C14" s="176" t="s">
        <v>19</v>
      </c>
      <c r="D14" s="210">
        <f t="shared" ref="D14:G14" si="0">SUM(D11:D13)</f>
        <v>132442071</v>
      </c>
      <c r="E14" s="204">
        <f t="shared" si="0"/>
        <v>128871600</v>
      </c>
      <c r="F14" s="204">
        <f t="shared" si="0"/>
        <v>116466375</v>
      </c>
      <c r="G14" s="210">
        <f t="shared" si="0"/>
        <v>107235766</v>
      </c>
      <c r="H14" s="204"/>
      <c r="I14" s="204">
        <f>+E14-D14</f>
        <v>-3570471</v>
      </c>
      <c r="J14" s="204">
        <f>+G14-D14</f>
        <v>-25206305</v>
      </c>
      <c r="L14" s="176" t="s">
        <v>19</v>
      </c>
      <c r="M14" s="211">
        <f t="shared" ref="M14:S14" si="1">SUM(M11:M13)</f>
        <v>0</v>
      </c>
      <c r="N14" s="204">
        <f t="shared" si="1"/>
        <v>138632590</v>
      </c>
      <c r="O14" s="211">
        <f t="shared" si="1"/>
        <v>0</v>
      </c>
      <c r="P14" s="211">
        <f t="shared" si="1"/>
        <v>0</v>
      </c>
      <c r="Q14" s="204">
        <f t="shared" si="1"/>
        <v>137445888</v>
      </c>
      <c r="R14" s="204">
        <f t="shared" si="1"/>
        <v>0</v>
      </c>
      <c r="S14" s="204">
        <f t="shared" si="1"/>
        <v>0</v>
      </c>
    </row>
    <row r="15" spans="2:19">
      <c r="C15" s="246" t="s">
        <v>124</v>
      </c>
      <c r="D15" s="212">
        <f>+E14-D14</f>
        <v>-3570471</v>
      </c>
      <c r="E15" s="212"/>
      <c r="F15" s="212"/>
      <c r="G15" s="212"/>
      <c r="H15" s="204"/>
      <c r="I15" s="204"/>
      <c r="J15" s="204"/>
      <c r="L15" s="176"/>
      <c r="M15" s="204"/>
      <c r="N15" s="204"/>
      <c r="O15" s="204"/>
      <c r="P15" s="204"/>
      <c r="Q15" s="204"/>
      <c r="R15" s="204"/>
      <c r="S15" s="204"/>
    </row>
    <row r="16" spans="2:19">
      <c r="C16" s="246" t="s">
        <v>125</v>
      </c>
      <c r="D16" s="212">
        <f>+G14-D14</f>
        <v>-25206305</v>
      </c>
      <c r="E16" s="212"/>
      <c r="F16" s="212"/>
      <c r="G16" s="212"/>
      <c r="H16" s="204"/>
      <c r="I16" s="204"/>
      <c r="J16" s="204"/>
      <c r="L16" s="176"/>
      <c r="M16" s="204"/>
      <c r="N16" s="204"/>
      <c r="O16" s="204"/>
      <c r="P16" s="204"/>
      <c r="Q16" s="204"/>
      <c r="R16" s="204"/>
      <c r="S16" s="204"/>
    </row>
    <row r="17" spans="3:19">
      <c r="C17" s="176" t="s">
        <v>20</v>
      </c>
      <c r="D17" s="210">
        <f t="shared" ref="D17:G17" si="2">AVERAGE(D11:D13)</f>
        <v>44147357</v>
      </c>
      <c r="E17" s="204">
        <f t="shared" si="2"/>
        <v>42957200</v>
      </c>
      <c r="F17" s="204">
        <f t="shared" si="2"/>
        <v>38822125</v>
      </c>
      <c r="G17" s="210">
        <f t="shared" si="2"/>
        <v>35745255.333333336</v>
      </c>
      <c r="H17" s="204"/>
      <c r="I17" s="204"/>
      <c r="J17" s="210">
        <f>+G17-D17</f>
        <v>-8402101.6666666642</v>
      </c>
      <c r="L17" s="176" t="s">
        <v>20</v>
      </c>
      <c r="M17" s="204"/>
      <c r="N17" s="210">
        <f>AVERAGE(N11:N13)</f>
        <v>46210863.333333336</v>
      </c>
      <c r="O17" s="204"/>
      <c r="P17" s="204"/>
      <c r="Q17" s="204">
        <f>AVERAGE(Q11:Q13)</f>
        <v>45815296</v>
      </c>
      <c r="R17" s="204"/>
      <c r="S17" s="204"/>
    </row>
    <row r="19" spans="3:19" ht="30">
      <c r="C19" s="207" t="s">
        <v>21</v>
      </c>
      <c r="D19" s="208" t="s">
        <v>3</v>
      </c>
      <c r="E19" s="208" t="s">
        <v>4</v>
      </c>
      <c r="F19" s="208" t="s">
        <v>5</v>
      </c>
      <c r="G19" s="208" t="s">
        <v>6</v>
      </c>
      <c r="H19" s="208" t="s">
        <v>7</v>
      </c>
      <c r="I19" s="208" t="s">
        <v>8</v>
      </c>
      <c r="J19" s="208" t="s">
        <v>9</v>
      </c>
      <c r="L19" s="207" t="s">
        <v>22</v>
      </c>
      <c r="M19" s="208" t="s">
        <v>3</v>
      </c>
      <c r="N19" s="208" t="s">
        <v>4</v>
      </c>
      <c r="O19" s="208" t="s">
        <v>5</v>
      </c>
      <c r="P19" s="208" t="s">
        <v>6</v>
      </c>
      <c r="Q19" s="208" t="s">
        <v>7</v>
      </c>
      <c r="R19" s="208" t="s">
        <v>8</v>
      </c>
      <c r="S19" s="208" t="s">
        <v>9</v>
      </c>
    </row>
    <row r="20" spans="3:19" ht="75">
      <c r="C20" s="176" t="s">
        <v>10</v>
      </c>
      <c r="D20" s="204">
        <f>+'11 seats'!E14</f>
        <v>43773446.350000001</v>
      </c>
      <c r="E20" s="204">
        <f>+'11 seats'!E28</f>
        <v>47936750</v>
      </c>
      <c r="F20" s="211"/>
      <c r="G20" s="211"/>
      <c r="H20" s="211"/>
      <c r="I20" s="250" t="s">
        <v>23</v>
      </c>
      <c r="J20" s="204"/>
      <c r="L20" s="176" t="s">
        <v>10</v>
      </c>
      <c r="M20" s="204">
        <f>+Fortuner!E17</f>
        <v>0</v>
      </c>
      <c r="N20" s="204">
        <f>+Fortuner!E32</f>
        <v>44789186</v>
      </c>
      <c r="O20" s="204">
        <f>+Fortuner!E62</f>
        <v>443636640</v>
      </c>
      <c r="P20" s="204">
        <f>+Fortuner!E78</f>
        <v>355758470</v>
      </c>
      <c r="Q20" s="204">
        <f>+Fortuner!E99</f>
        <v>417780808</v>
      </c>
      <c r="R20" s="216" t="s">
        <v>24</v>
      </c>
      <c r="S20" s="204">
        <f t="shared" ref="S20:S24" si="3">+P20-M20</f>
        <v>355758470</v>
      </c>
    </row>
    <row r="21" spans="3:19" ht="120">
      <c r="C21" s="176" t="s">
        <v>15</v>
      </c>
      <c r="D21" s="204">
        <f>+'11 seats'!H14</f>
        <v>50188321</v>
      </c>
      <c r="E21" s="204">
        <f>+'11 seats'!H28</f>
        <v>55638252.380952403</v>
      </c>
      <c r="F21" s="211"/>
      <c r="G21" s="211"/>
      <c r="H21" s="211"/>
      <c r="I21" s="250" t="s">
        <v>25</v>
      </c>
      <c r="J21" s="204"/>
      <c r="L21" s="176" t="s">
        <v>15</v>
      </c>
      <c r="M21" s="204">
        <f>+Fortuner!H17</f>
        <v>0</v>
      </c>
      <c r="N21" s="204">
        <f>+Fortuner!H32</f>
        <v>35320438</v>
      </c>
      <c r="O21" s="204">
        <f>+Fortuner!H62</f>
        <v>315140820</v>
      </c>
      <c r="P21" s="204">
        <f>+Fortuner!H78</f>
        <v>253058290</v>
      </c>
      <c r="Q21" s="204">
        <f>+Fortuner!H99</f>
        <v>280546029</v>
      </c>
      <c r="R21" s="216" t="s">
        <v>26</v>
      </c>
      <c r="S21" s="204">
        <f t="shared" si="3"/>
        <v>253058290</v>
      </c>
    </row>
    <row r="22" spans="3:19" ht="90">
      <c r="C22" s="176" t="s">
        <v>17</v>
      </c>
      <c r="D22" s="204">
        <f>+'11 seats'!K14</f>
        <v>47491277.75</v>
      </c>
      <c r="E22" s="204">
        <f>+'11 seats'!K28</f>
        <v>53819475</v>
      </c>
      <c r="F22" s="211"/>
      <c r="G22" s="211"/>
      <c r="H22" s="211"/>
      <c r="I22" s="250" t="s">
        <v>27</v>
      </c>
      <c r="J22" s="204"/>
      <c r="L22" s="176" t="s">
        <v>17</v>
      </c>
      <c r="M22" s="204">
        <f>+Fortuner!K17</f>
        <v>0</v>
      </c>
      <c r="N22" s="204">
        <f>+Fortuner!K32</f>
        <v>38479080</v>
      </c>
      <c r="O22" s="204">
        <f>+Fortuner!K62</f>
        <v>312507486.66666669</v>
      </c>
      <c r="P22" s="204">
        <f>+Fortuner!K78</f>
        <v>250741623.33333334</v>
      </c>
      <c r="Q22" s="204">
        <f>+Fortuner!K99</f>
        <v>279004362.33333331</v>
      </c>
      <c r="R22" s="216" t="s">
        <v>28</v>
      </c>
      <c r="S22" s="204">
        <f t="shared" si="3"/>
        <v>250741623.33333334</v>
      </c>
    </row>
    <row r="23" spans="3:19" ht="33" customHeight="1">
      <c r="C23" s="176" t="s">
        <v>19</v>
      </c>
      <c r="D23" s="204">
        <f t="shared" ref="D23:I23" si="4">SUM(D20:D22)</f>
        <v>141453045.09999999</v>
      </c>
      <c r="E23" s="204">
        <f t="shared" si="4"/>
        <v>157394477.38095242</v>
      </c>
      <c r="F23" s="211">
        <f t="shared" si="4"/>
        <v>0</v>
      </c>
      <c r="G23" s="211">
        <f t="shared" si="4"/>
        <v>0</v>
      </c>
      <c r="H23" s="211">
        <f t="shared" si="4"/>
        <v>0</v>
      </c>
      <c r="I23" s="204">
        <f t="shared" si="4"/>
        <v>0</v>
      </c>
      <c r="J23" s="204">
        <f>+E23-D23</f>
        <v>15941432.280952424</v>
      </c>
      <c r="L23" s="176" t="s">
        <v>19</v>
      </c>
      <c r="M23" s="204">
        <f t="shared" ref="M23:R23" si="5">SUM(M20:M22)</f>
        <v>0</v>
      </c>
      <c r="N23" s="204">
        <f t="shared" si="5"/>
        <v>118588704</v>
      </c>
      <c r="O23" s="204">
        <f t="shared" si="5"/>
        <v>1071284946.6666667</v>
      </c>
      <c r="P23" s="204">
        <f t="shared" si="5"/>
        <v>859558383.33333337</v>
      </c>
      <c r="Q23" s="204">
        <f t="shared" si="5"/>
        <v>977331199.33333325</v>
      </c>
      <c r="R23" s="204">
        <f t="shared" si="5"/>
        <v>0</v>
      </c>
      <c r="S23" s="204">
        <f t="shared" si="3"/>
        <v>859558383.33333337</v>
      </c>
    </row>
    <row r="24" spans="3:19" ht="33" customHeight="1">
      <c r="C24" s="176" t="s">
        <v>20</v>
      </c>
      <c r="D24" s="210">
        <f>AVERAGE(D20:D22)</f>
        <v>47151015.033333331</v>
      </c>
      <c r="E24" s="210">
        <f>AVERAGE(E20:E22)</f>
        <v>52464825.793650806</v>
      </c>
      <c r="F24" s="212"/>
      <c r="G24" s="212"/>
      <c r="H24" s="204"/>
      <c r="I24" s="204"/>
      <c r="J24" s="210">
        <f>+E24-D24</f>
        <v>5313810.7603174746</v>
      </c>
      <c r="L24" s="176" t="s">
        <v>20</v>
      </c>
      <c r="M24" s="210">
        <f t="shared" ref="M24:Q24" si="6">AVERAGE(M20:M22)</f>
        <v>0</v>
      </c>
      <c r="N24" s="204">
        <f t="shared" si="6"/>
        <v>39529568</v>
      </c>
      <c r="O24" s="204">
        <f t="shared" si="6"/>
        <v>357094982.22222227</v>
      </c>
      <c r="P24" s="210">
        <f t="shared" si="6"/>
        <v>286519461.1111111</v>
      </c>
      <c r="Q24" s="204">
        <f t="shared" si="6"/>
        <v>325777066.44444442</v>
      </c>
      <c r="R24" s="204"/>
      <c r="S24" s="210">
        <f t="shared" si="3"/>
        <v>286519461.1111111</v>
      </c>
    </row>
    <row r="26" spans="3:19" ht="30">
      <c r="C26" s="207" t="s">
        <v>29</v>
      </c>
      <c r="D26" s="208" t="s">
        <v>3</v>
      </c>
      <c r="E26" s="208" t="s">
        <v>4</v>
      </c>
      <c r="F26" s="208" t="s">
        <v>5</v>
      </c>
      <c r="G26" s="208" t="s">
        <v>6</v>
      </c>
      <c r="H26" s="208" t="s">
        <v>7</v>
      </c>
      <c r="I26" s="208" t="s">
        <v>8</v>
      </c>
      <c r="J26" s="208" t="s">
        <v>9</v>
      </c>
      <c r="L26" s="207" t="s">
        <v>30</v>
      </c>
      <c r="M26" s="208" t="s">
        <v>3</v>
      </c>
      <c r="N26" s="208" t="s">
        <v>4</v>
      </c>
      <c r="O26" s="208" t="s">
        <v>5</v>
      </c>
      <c r="P26" s="208" t="s">
        <v>6</v>
      </c>
      <c r="Q26" s="208" t="s">
        <v>7</v>
      </c>
      <c r="R26" s="208" t="s">
        <v>8</v>
      </c>
      <c r="S26" s="208" t="s">
        <v>9</v>
      </c>
    </row>
    <row r="27" spans="3:19" ht="75">
      <c r="C27" s="176" t="s">
        <v>10</v>
      </c>
      <c r="D27" s="204">
        <v>45143446.350000001</v>
      </c>
      <c r="E27" s="204">
        <f>+'11 seats'!E43</f>
        <v>46298750</v>
      </c>
      <c r="F27" s="211"/>
      <c r="G27" s="211"/>
      <c r="H27" s="211"/>
      <c r="I27" s="250" t="s">
        <v>23</v>
      </c>
      <c r="J27" s="204"/>
      <c r="L27" s="176" t="s">
        <v>10</v>
      </c>
      <c r="M27" s="211"/>
      <c r="N27" s="204">
        <f>+Xpander!E30</f>
        <v>416561500</v>
      </c>
      <c r="O27" s="211"/>
      <c r="P27" s="204">
        <f>+Xpander!E59</f>
        <v>322478034</v>
      </c>
      <c r="Q27" s="211"/>
      <c r="R27" s="216" t="s">
        <v>24</v>
      </c>
      <c r="S27" s="204"/>
    </row>
    <row r="28" spans="3:19" ht="120">
      <c r="C28" s="176" t="s">
        <v>15</v>
      </c>
      <c r="D28" s="204">
        <v>51558321</v>
      </c>
      <c r="E28" s="204">
        <f>+'11 seats'!H43</f>
        <v>53298252.380952403</v>
      </c>
      <c r="F28" s="211"/>
      <c r="G28" s="211"/>
      <c r="H28" s="211"/>
      <c r="I28" s="250" t="s">
        <v>25</v>
      </c>
      <c r="J28" s="204"/>
      <c r="L28" s="176" t="s">
        <v>15</v>
      </c>
      <c r="M28" s="211"/>
      <c r="N28" s="204">
        <f>+Xpander!H30</f>
        <v>289918200</v>
      </c>
      <c r="O28" s="211"/>
      <c r="P28" s="204">
        <f>+Xpander!H59</f>
        <v>235491398</v>
      </c>
      <c r="Q28" s="211"/>
      <c r="R28" s="216" t="s">
        <v>26</v>
      </c>
      <c r="S28" s="204"/>
    </row>
    <row r="29" spans="3:19" ht="90">
      <c r="C29" s="176" t="s">
        <v>17</v>
      </c>
      <c r="D29" s="204">
        <v>48861277.75</v>
      </c>
      <c r="E29" s="204">
        <f>+'11 seats'!K43</f>
        <v>51260100</v>
      </c>
      <c r="F29" s="211"/>
      <c r="G29" s="211"/>
      <c r="H29" s="211"/>
      <c r="I29" s="250" t="s">
        <v>27</v>
      </c>
      <c r="J29" s="204"/>
      <c r="L29" s="176" t="s">
        <v>17</v>
      </c>
      <c r="M29" s="211"/>
      <c r="N29" s="204">
        <f>+Xpander!K30</f>
        <v>286769366.66666663</v>
      </c>
      <c r="O29" s="211"/>
      <c r="P29" s="204">
        <f>+Xpander!K59</f>
        <v>233541397.99999997</v>
      </c>
      <c r="Q29" s="211"/>
      <c r="R29" s="216" t="s">
        <v>28</v>
      </c>
      <c r="S29" s="204"/>
    </row>
    <row r="30" spans="3:19" ht="30" customHeight="1">
      <c r="C30" s="176" t="s">
        <v>19</v>
      </c>
      <c r="D30" s="204">
        <f t="shared" ref="D30:J30" si="7">SUM(D27:D29)</f>
        <v>145563045.09999999</v>
      </c>
      <c r="E30" s="204">
        <f t="shared" si="7"/>
        <v>150857102.38095242</v>
      </c>
      <c r="F30" s="211">
        <f t="shared" si="7"/>
        <v>0</v>
      </c>
      <c r="G30" s="211">
        <f t="shared" si="7"/>
        <v>0</v>
      </c>
      <c r="H30" s="211">
        <f t="shared" si="7"/>
        <v>0</v>
      </c>
      <c r="I30" s="204">
        <f t="shared" si="7"/>
        <v>0</v>
      </c>
      <c r="J30" s="204">
        <f t="shared" si="7"/>
        <v>0</v>
      </c>
      <c r="L30" s="176" t="s">
        <v>19</v>
      </c>
      <c r="M30" s="211">
        <f t="shared" ref="M30:S30" si="8">SUM(M27:M29)</f>
        <v>0</v>
      </c>
      <c r="N30" s="204">
        <f t="shared" si="8"/>
        <v>993249066.66666663</v>
      </c>
      <c r="O30" s="211">
        <f t="shared" si="8"/>
        <v>0</v>
      </c>
      <c r="P30" s="204">
        <f t="shared" si="8"/>
        <v>791510830</v>
      </c>
      <c r="Q30" s="211">
        <f t="shared" si="8"/>
        <v>0</v>
      </c>
      <c r="R30" s="204">
        <f t="shared" si="8"/>
        <v>0</v>
      </c>
      <c r="S30" s="204">
        <f t="shared" si="8"/>
        <v>0</v>
      </c>
    </row>
    <row r="31" spans="3:19" ht="30" customHeight="1">
      <c r="C31" s="176" t="s">
        <v>20</v>
      </c>
      <c r="D31" s="210">
        <f>AVERAGE(D27:D29)</f>
        <v>48521015.033333331</v>
      </c>
      <c r="E31" s="210">
        <f>AVERAGE(E27:E29)</f>
        <v>50285700.793650806</v>
      </c>
      <c r="F31" s="212"/>
      <c r="G31" s="212"/>
      <c r="H31" s="204"/>
      <c r="I31" s="204"/>
      <c r="J31" s="210">
        <f>+E31-D31</f>
        <v>1764685.7603174746</v>
      </c>
      <c r="L31" s="176" t="s">
        <v>20</v>
      </c>
      <c r="M31" s="204"/>
      <c r="N31" s="204">
        <f>AVERAGE(N27:N29)</f>
        <v>331083022.22222221</v>
      </c>
      <c r="O31" s="204"/>
      <c r="P31" s="210">
        <f>AVERAGE(P27:P29)</f>
        <v>263836943.33333334</v>
      </c>
      <c r="Q31" s="204"/>
      <c r="R31" s="204"/>
      <c r="S31" s="204">
        <f>+P31-M31</f>
        <v>263836943.33333334</v>
      </c>
    </row>
    <row r="33" spans="3:19" ht="34.5" customHeight="1">
      <c r="C33" s="207" t="s">
        <v>31</v>
      </c>
      <c r="D33" s="208" t="s">
        <v>32</v>
      </c>
      <c r="E33" s="208" t="s">
        <v>4</v>
      </c>
      <c r="F33" s="208" t="s">
        <v>5</v>
      </c>
      <c r="G33" s="208" t="s">
        <v>6</v>
      </c>
      <c r="H33" s="208" t="s">
        <v>7</v>
      </c>
      <c r="I33" s="208" t="s">
        <v>8</v>
      </c>
      <c r="J33" s="208" t="s">
        <v>9</v>
      </c>
      <c r="L33" s="207" t="s">
        <v>33</v>
      </c>
      <c r="M33" s="208" t="s">
        <v>3</v>
      </c>
      <c r="N33" s="208" t="s">
        <v>4</v>
      </c>
      <c r="O33" s="208" t="s">
        <v>5</v>
      </c>
      <c r="P33" s="208" t="s">
        <v>6</v>
      </c>
      <c r="Q33" s="208" t="s">
        <v>7</v>
      </c>
      <c r="R33" s="208" t="s">
        <v>8</v>
      </c>
      <c r="S33" s="208" t="s">
        <v>9</v>
      </c>
    </row>
    <row r="34" spans="3:19" ht="34.5" customHeight="1">
      <c r="C34" s="176" t="s">
        <v>10</v>
      </c>
      <c r="D34" s="211"/>
      <c r="E34" s="204">
        <f>+'11 seats'!E57</f>
        <v>47837144.444444411</v>
      </c>
      <c r="F34" s="211"/>
      <c r="G34" s="211"/>
      <c r="H34" s="211"/>
      <c r="I34" s="285" t="s">
        <v>34</v>
      </c>
      <c r="J34" s="204"/>
      <c r="L34" s="176" t="s">
        <v>10</v>
      </c>
      <c r="M34" s="211"/>
      <c r="N34" s="204">
        <f>+Fortuner.!E28</f>
        <v>525940500</v>
      </c>
      <c r="O34" s="204">
        <f>+Fortuner.!E43</f>
        <v>443636640</v>
      </c>
      <c r="P34" s="204">
        <f>+Fortuner.!E57</f>
        <v>354549062.30769235</v>
      </c>
      <c r="Q34" s="204">
        <f>+Fortuner.!E72</f>
        <v>413069211</v>
      </c>
      <c r="R34" s="204"/>
      <c r="S34" s="204"/>
    </row>
    <row r="35" spans="3:19" ht="34.5" customHeight="1">
      <c r="C35" s="176" t="s">
        <v>15</v>
      </c>
      <c r="D35" s="211"/>
      <c r="E35" s="204">
        <f>+'11 seats'!H57</f>
        <v>52679761.538461581</v>
      </c>
      <c r="F35" s="211"/>
      <c r="G35" s="211"/>
      <c r="H35" s="211"/>
      <c r="I35" s="286"/>
      <c r="J35" s="204"/>
      <c r="L35" s="176" t="s">
        <v>15</v>
      </c>
      <c r="M35" s="211"/>
      <c r="N35" s="204">
        <f>+Fortuner.!H28</f>
        <v>52473500</v>
      </c>
      <c r="O35" s="204">
        <f>+Fortuner.!H43</f>
        <v>47142080</v>
      </c>
      <c r="P35" s="204">
        <f>+Fortuner.!H57</f>
        <v>37370924.545454502</v>
      </c>
      <c r="Q35" s="204">
        <f>+Fortuner.!H72</f>
        <v>41509129.5</v>
      </c>
      <c r="R35" s="204"/>
      <c r="S35" s="204"/>
    </row>
    <row r="36" spans="3:19" ht="34.5" customHeight="1">
      <c r="C36" s="176" t="s">
        <v>17</v>
      </c>
      <c r="D36" s="211"/>
      <c r="E36" s="204">
        <f>+'11 seats'!K57</f>
        <v>50569600</v>
      </c>
      <c r="F36" s="211"/>
      <c r="G36" s="211"/>
      <c r="H36" s="211"/>
      <c r="I36" s="287"/>
      <c r="J36" s="204"/>
      <c r="L36" s="176" t="s">
        <v>17</v>
      </c>
      <c r="M36" s="211"/>
      <c r="N36" s="204">
        <f>+Fortuner.!K28</f>
        <v>51028000</v>
      </c>
      <c r="O36" s="204">
        <f>+Fortuner.!K43</f>
        <v>44867260</v>
      </c>
      <c r="P36" s="204">
        <f>+Fortuner.!K57</f>
        <v>36015470</v>
      </c>
      <c r="Q36" s="204">
        <f>+Fortuner.!K72</f>
        <v>39358463</v>
      </c>
      <c r="R36" s="204"/>
      <c r="S36" s="204"/>
    </row>
    <row r="37" spans="3:19" ht="34.5" customHeight="1">
      <c r="C37" s="176" t="s">
        <v>19</v>
      </c>
      <c r="D37" s="211">
        <f t="shared" ref="D37:J37" si="9">SUM(D34:D36)</f>
        <v>0</v>
      </c>
      <c r="E37" s="204">
        <f t="shared" si="9"/>
        <v>151086505.98290598</v>
      </c>
      <c r="F37" s="211">
        <f t="shared" si="9"/>
        <v>0</v>
      </c>
      <c r="G37" s="211">
        <f t="shared" si="9"/>
        <v>0</v>
      </c>
      <c r="H37" s="211">
        <f t="shared" si="9"/>
        <v>0</v>
      </c>
      <c r="I37" s="204">
        <f t="shared" si="9"/>
        <v>0</v>
      </c>
      <c r="J37" s="204">
        <f t="shared" si="9"/>
        <v>0</v>
      </c>
      <c r="L37" s="176" t="s">
        <v>19</v>
      </c>
      <c r="M37" s="211">
        <f t="shared" ref="M37:R37" si="10">SUM(M34:M36)</f>
        <v>0</v>
      </c>
      <c r="N37" s="204">
        <f t="shared" si="10"/>
        <v>629442000</v>
      </c>
      <c r="O37" s="204">
        <f t="shared" si="10"/>
        <v>535645980</v>
      </c>
      <c r="P37" s="204">
        <f t="shared" si="10"/>
        <v>427935456.85314685</v>
      </c>
      <c r="Q37" s="204">
        <f t="shared" si="10"/>
        <v>493936803.5</v>
      </c>
      <c r="R37" s="204">
        <f t="shared" si="10"/>
        <v>0</v>
      </c>
      <c r="S37" s="204"/>
    </row>
    <row r="38" spans="3:19" ht="34.5" customHeight="1">
      <c r="C38" s="176" t="s">
        <v>20</v>
      </c>
      <c r="D38" s="204"/>
      <c r="E38" s="210">
        <f>AVERAGE(E34:E36)</f>
        <v>50362168.660968661</v>
      </c>
      <c r="F38" s="204"/>
      <c r="G38" s="204"/>
      <c r="H38" s="204"/>
      <c r="I38" s="204"/>
      <c r="J38" s="204"/>
      <c r="L38" s="176" t="s">
        <v>20</v>
      </c>
      <c r="M38" s="204"/>
      <c r="N38" s="204">
        <f t="shared" ref="N38:Q38" si="11">AVERAGE(N34:N36)</f>
        <v>209814000</v>
      </c>
      <c r="O38" s="204">
        <f t="shared" si="11"/>
        <v>178548660</v>
      </c>
      <c r="P38" s="210">
        <f t="shared" si="11"/>
        <v>142645152.28438228</v>
      </c>
      <c r="Q38" s="204">
        <f t="shared" si="11"/>
        <v>164645601.16666666</v>
      </c>
      <c r="R38" s="204"/>
      <c r="S38" s="204">
        <f>+P38-M38</f>
        <v>142645152.28438228</v>
      </c>
    </row>
    <row r="40" spans="3:19" ht="37.5" customHeight="1">
      <c r="C40" s="207" t="s">
        <v>35</v>
      </c>
      <c r="D40" s="208" t="s">
        <v>32</v>
      </c>
      <c r="E40" s="208" t="s">
        <v>4</v>
      </c>
      <c r="F40" s="208" t="s">
        <v>5</v>
      </c>
      <c r="G40" s="208" t="s">
        <v>6</v>
      </c>
      <c r="H40" s="208" t="s">
        <v>7</v>
      </c>
      <c r="I40" s="208" t="s">
        <v>8</v>
      </c>
      <c r="J40" s="208" t="s">
        <v>9</v>
      </c>
      <c r="L40" s="207" t="s">
        <v>36</v>
      </c>
      <c r="M40" s="208" t="s">
        <v>3</v>
      </c>
      <c r="N40" s="208" t="s">
        <v>4</v>
      </c>
      <c r="O40" s="208" t="s">
        <v>5</v>
      </c>
      <c r="P40" s="208" t="s">
        <v>6</v>
      </c>
      <c r="Q40" s="208" t="s">
        <v>7</v>
      </c>
      <c r="R40" s="208" t="s">
        <v>8</v>
      </c>
      <c r="S40" s="208" t="s">
        <v>9</v>
      </c>
    </row>
    <row r="41" spans="3:19" ht="37.5" customHeight="1">
      <c r="C41" s="176" t="s">
        <v>10</v>
      </c>
      <c r="D41" s="211"/>
      <c r="E41" s="204">
        <f>+'11 seats'!E71</f>
        <v>44779033.333333313</v>
      </c>
      <c r="F41" s="211"/>
      <c r="G41" s="204">
        <f>+'11 seats'!E85</f>
        <v>43140634.306172803</v>
      </c>
      <c r="H41" s="211"/>
      <c r="I41" s="288" t="s">
        <v>37</v>
      </c>
      <c r="J41" s="204"/>
      <c r="L41" s="176" t="s">
        <v>10</v>
      </c>
      <c r="M41" s="211"/>
      <c r="N41" s="204">
        <f>+'Honda CRV'!E30</f>
        <v>536456500</v>
      </c>
      <c r="O41" s="211"/>
      <c r="P41" s="211"/>
      <c r="Q41" s="211"/>
      <c r="R41" s="204"/>
      <c r="S41" s="204"/>
    </row>
    <row r="42" spans="3:19" ht="37.5" customHeight="1">
      <c r="C42" s="176" t="s">
        <v>15</v>
      </c>
      <c r="D42" s="211"/>
      <c r="E42" s="204">
        <f>+'11 seats'!H71</f>
        <v>49604299.999999978</v>
      </c>
      <c r="F42" s="211"/>
      <c r="G42" s="204">
        <f>+'11 seats'!H85</f>
        <v>48544446.959259301</v>
      </c>
      <c r="H42" s="211"/>
      <c r="I42" s="289"/>
      <c r="J42" s="204"/>
      <c r="L42" s="176" t="s">
        <v>15</v>
      </c>
      <c r="M42" s="211"/>
      <c r="N42" s="204">
        <f>+'Honda CRV'!H30</f>
        <v>367440200</v>
      </c>
      <c r="O42" s="211"/>
      <c r="P42" s="211"/>
      <c r="Q42" s="211"/>
      <c r="R42" s="204"/>
      <c r="S42" s="204"/>
    </row>
    <row r="43" spans="3:19" ht="37.5" customHeight="1">
      <c r="C43" s="176" t="s">
        <v>17</v>
      </c>
      <c r="D43" s="211"/>
      <c r="E43" s="204">
        <f>+'11 seats'!K71</f>
        <v>47565933.333333299</v>
      </c>
      <c r="F43" s="211"/>
      <c r="G43" s="204">
        <f>+'11 seats'!K85</f>
        <v>46842024.918518499</v>
      </c>
      <c r="H43" s="211"/>
      <c r="I43" s="290"/>
      <c r="J43" s="204"/>
      <c r="L43" s="176" t="s">
        <v>17</v>
      </c>
      <c r="M43" s="211"/>
      <c r="N43" s="204">
        <f>+'Honda CRV'!K30</f>
        <v>364491366.66666663</v>
      </c>
      <c r="O43" s="211"/>
      <c r="P43" s="211"/>
      <c r="Q43" s="211"/>
      <c r="R43" s="204"/>
      <c r="S43" s="204"/>
    </row>
    <row r="44" spans="3:19" ht="37.5" customHeight="1">
      <c r="C44" s="176" t="s">
        <v>19</v>
      </c>
      <c r="D44" s="211">
        <f t="shared" ref="D44:J44" si="12">SUM(D41:D43)</f>
        <v>0</v>
      </c>
      <c r="E44" s="204">
        <f t="shared" si="12"/>
        <v>141949266.66666657</v>
      </c>
      <c r="F44" s="211">
        <f t="shared" si="12"/>
        <v>0</v>
      </c>
      <c r="G44" s="204">
        <f t="shared" si="12"/>
        <v>138527106.1839506</v>
      </c>
      <c r="H44" s="211">
        <f t="shared" si="12"/>
        <v>0</v>
      </c>
      <c r="I44" s="204">
        <f t="shared" si="12"/>
        <v>0</v>
      </c>
      <c r="J44" s="204">
        <f t="shared" si="12"/>
        <v>0</v>
      </c>
      <c r="L44" s="176" t="s">
        <v>19</v>
      </c>
      <c r="M44" s="211">
        <f t="shared" ref="M44:S44" si="13">SUM(M41:M43)</f>
        <v>0</v>
      </c>
      <c r="N44" s="204">
        <f t="shared" si="13"/>
        <v>1268388066.6666665</v>
      </c>
      <c r="O44" s="211">
        <f t="shared" si="13"/>
        <v>0</v>
      </c>
      <c r="P44" s="211">
        <f t="shared" si="13"/>
        <v>0</v>
      </c>
      <c r="Q44" s="211">
        <f t="shared" si="13"/>
        <v>0</v>
      </c>
      <c r="R44" s="204">
        <f t="shared" si="13"/>
        <v>0</v>
      </c>
      <c r="S44" s="204">
        <f t="shared" si="13"/>
        <v>0</v>
      </c>
    </row>
    <row r="45" spans="3:19" ht="37.5" customHeight="1">
      <c r="C45" s="176" t="s">
        <v>20</v>
      </c>
      <c r="D45" s="204"/>
      <c r="E45" s="210">
        <f>AVERAGE(E41:E43)</f>
        <v>47316422.222222187</v>
      </c>
      <c r="F45" s="204"/>
      <c r="G45" s="210">
        <f>AVERAGE(G41:G43)</f>
        <v>46175702.06131687</v>
      </c>
      <c r="H45" s="204"/>
      <c r="I45" s="204"/>
      <c r="J45" s="204"/>
      <c r="L45" s="176" t="s">
        <v>20</v>
      </c>
      <c r="M45" s="204"/>
      <c r="N45" s="210">
        <f>AVERAGE(N41:N43)</f>
        <v>422796022.22222215</v>
      </c>
      <c r="O45" s="204"/>
      <c r="P45" s="204"/>
      <c r="Q45" s="204"/>
      <c r="R45" s="204"/>
      <c r="S45" s="204">
        <f>+P45-M45</f>
        <v>0</v>
      </c>
    </row>
    <row r="50" spans="2:16" ht="24" customHeight="1">
      <c r="B50" s="275" t="s">
        <v>38</v>
      </c>
      <c r="C50" s="274" t="s">
        <v>39</v>
      </c>
      <c r="D50" s="274" t="s">
        <v>40</v>
      </c>
      <c r="E50" s="274" t="s">
        <v>41</v>
      </c>
      <c r="F50" s="268" t="s">
        <v>3</v>
      </c>
      <c r="G50" s="269"/>
      <c r="H50" s="268" t="s">
        <v>42</v>
      </c>
      <c r="I50" s="269"/>
      <c r="J50" s="274" t="s">
        <v>43</v>
      </c>
      <c r="K50" s="274" t="s">
        <v>8</v>
      </c>
      <c r="L50" s="274"/>
      <c r="M50" s="274"/>
    </row>
    <row r="51" spans="2:16" ht="24" customHeight="1">
      <c r="B51" s="275"/>
      <c r="C51" s="274"/>
      <c r="D51" s="274"/>
      <c r="E51" s="274"/>
      <c r="F51" s="3" t="s">
        <v>1</v>
      </c>
      <c r="G51" s="6" t="s">
        <v>44</v>
      </c>
      <c r="H51" s="6" t="s">
        <v>1</v>
      </c>
      <c r="I51" s="6" t="s">
        <v>44</v>
      </c>
      <c r="J51" s="274"/>
      <c r="K51" s="274"/>
      <c r="L51" s="274"/>
      <c r="M51" s="274"/>
    </row>
    <row r="52" spans="2:16" ht="38.25" customHeight="1">
      <c r="B52" s="176" t="s">
        <v>4</v>
      </c>
      <c r="C52" s="176" t="s">
        <v>45</v>
      </c>
      <c r="D52" s="176" t="s">
        <v>10</v>
      </c>
      <c r="E52" s="131">
        <v>1</v>
      </c>
      <c r="F52" s="202">
        <f>+Lexus!E16</f>
        <v>85121795</v>
      </c>
      <c r="G52" s="202">
        <f t="shared" ref="G52:G55" si="14">+F52*E52</f>
        <v>85121795</v>
      </c>
      <c r="H52" s="202">
        <f>+Lexus!H16</f>
        <v>76154200</v>
      </c>
      <c r="I52" s="202">
        <f t="shared" ref="I52:I55" si="15">+H52*E52</f>
        <v>76154200</v>
      </c>
      <c r="J52" s="212">
        <f t="shared" ref="J52:J55" si="16">+I52-G52</f>
        <v>-8967595</v>
      </c>
      <c r="K52" s="270" t="s">
        <v>46</v>
      </c>
      <c r="L52" s="271"/>
      <c r="M52" s="271"/>
    </row>
    <row r="53" spans="2:16" ht="31.5" customHeight="1">
      <c r="B53" s="276" t="s">
        <v>4</v>
      </c>
      <c r="C53" s="279" t="s">
        <v>47</v>
      </c>
      <c r="D53" s="176" t="s">
        <v>10</v>
      </c>
      <c r="E53" s="131">
        <v>1</v>
      </c>
      <c r="F53" s="202">
        <f>+'Camry 2.5G'!E16</f>
        <v>42471157</v>
      </c>
      <c r="G53" s="202">
        <f t="shared" si="14"/>
        <v>42471157</v>
      </c>
      <c r="H53" s="202">
        <f>+'Camry 2.5G'!E31</f>
        <v>40682600</v>
      </c>
      <c r="I53" s="202">
        <f t="shared" si="15"/>
        <v>40682600</v>
      </c>
      <c r="J53" s="212">
        <f t="shared" si="16"/>
        <v>-1788557</v>
      </c>
      <c r="K53" s="270" t="s">
        <v>14</v>
      </c>
      <c r="L53" s="271"/>
      <c r="M53" s="271"/>
    </row>
    <row r="54" spans="2:16" ht="31.5" customHeight="1">
      <c r="B54" s="277"/>
      <c r="C54" s="280"/>
      <c r="D54" s="176" t="s">
        <v>15</v>
      </c>
      <c r="E54" s="131">
        <v>1</v>
      </c>
      <c r="F54" s="202">
        <f>+'Camry 2.5G'!H16</f>
        <v>45837757</v>
      </c>
      <c r="G54" s="202">
        <f t="shared" si="14"/>
        <v>45837757</v>
      </c>
      <c r="H54" s="202">
        <f>+'Camry 2.5G'!H31</f>
        <v>45223800</v>
      </c>
      <c r="I54" s="202">
        <f t="shared" si="15"/>
        <v>45223800</v>
      </c>
      <c r="J54" s="212">
        <f t="shared" si="16"/>
        <v>-613957</v>
      </c>
      <c r="K54" s="270" t="s">
        <v>16</v>
      </c>
      <c r="L54" s="271"/>
      <c r="M54" s="271"/>
    </row>
    <row r="55" spans="2:16" ht="31.5" customHeight="1">
      <c r="B55" s="277"/>
      <c r="C55" s="280"/>
      <c r="D55" s="176" t="s">
        <v>17</v>
      </c>
      <c r="E55" s="131">
        <v>1</v>
      </c>
      <c r="F55" s="202">
        <f>+'Camry 2.5G'!K16</f>
        <v>44133157</v>
      </c>
      <c r="G55" s="202">
        <f t="shared" si="14"/>
        <v>44133157</v>
      </c>
      <c r="H55" s="202">
        <f>+'Camry 2.5G'!K31</f>
        <v>42965200</v>
      </c>
      <c r="I55" s="202">
        <f t="shared" si="15"/>
        <v>42965200</v>
      </c>
      <c r="J55" s="212">
        <f t="shared" si="16"/>
        <v>-1167957</v>
      </c>
      <c r="K55" s="271"/>
      <c r="L55" s="271"/>
      <c r="M55" s="271"/>
    </row>
    <row r="56" spans="2:16" ht="24" customHeight="1">
      <c r="B56" s="278"/>
      <c r="C56" s="281"/>
      <c r="D56" s="194" t="s">
        <v>48</v>
      </c>
      <c r="E56" s="178">
        <f t="shared" ref="E56:J56" si="17">SUM(E53:E55)</f>
        <v>3</v>
      </c>
      <c r="F56" s="214">
        <f t="shared" si="17"/>
        <v>132442071</v>
      </c>
      <c r="G56" s="214">
        <f t="shared" si="17"/>
        <v>132442071</v>
      </c>
      <c r="H56" s="214">
        <f t="shared" si="17"/>
        <v>128871600</v>
      </c>
      <c r="I56" s="214">
        <f t="shared" si="17"/>
        <v>128871600</v>
      </c>
      <c r="J56" s="217">
        <f t="shared" si="17"/>
        <v>-3570471</v>
      </c>
      <c r="K56" s="271"/>
      <c r="L56" s="271"/>
      <c r="M56" s="271"/>
    </row>
    <row r="57" spans="2:16" ht="31.5" customHeight="1">
      <c r="B57" s="279" t="s">
        <v>6</v>
      </c>
      <c r="C57" s="279" t="s">
        <v>47</v>
      </c>
      <c r="D57" s="176" t="s">
        <v>10</v>
      </c>
      <c r="E57" s="131">
        <v>1</v>
      </c>
      <c r="F57" s="202">
        <f>+'Camry 2.5G'!E16</f>
        <v>42471157</v>
      </c>
      <c r="G57" s="202">
        <f t="shared" ref="G57:G59" si="18">+F57*E57</f>
        <v>42471157</v>
      </c>
      <c r="H57" s="202">
        <f>+'Camry 2.5G'!E60</f>
        <v>33197822</v>
      </c>
      <c r="I57" s="202">
        <f t="shared" ref="I57:I59" si="19">+H57*E57</f>
        <v>33197822</v>
      </c>
      <c r="J57" s="212">
        <f t="shared" ref="J57:J59" si="20">+I57-G57</f>
        <v>-9273335</v>
      </c>
      <c r="K57" s="270" t="s">
        <v>14</v>
      </c>
      <c r="L57" s="271"/>
      <c r="M57" s="271"/>
    </row>
    <row r="58" spans="2:16" ht="31.5" customHeight="1">
      <c r="B58" s="280"/>
      <c r="C58" s="280"/>
      <c r="D58" s="176" t="s">
        <v>15</v>
      </c>
      <c r="E58" s="131">
        <v>1</v>
      </c>
      <c r="F58" s="202">
        <f>+'Camry 2.5G'!H16</f>
        <v>45837757</v>
      </c>
      <c r="G58" s="202">
        <f t="shared" si="18"/>
        <v>45837757</v>
      </c>
      <c r="H58" s="202">
        <f>+'Camry 2.5G'!H60</f>
        <v>38273422</v>
      </c>
      <c r="I58" s="202">
        <f t="shared" si="19"/>
        <v>38273422</v>
      </c>
      <c r="J58" s="212">
        <f t="shared" si="20"/>
        <v>-7564335</v>
      </c>
      <c r="K58" s="270" t="s">
        <v>16</v>
      </c>
      <c r="L58" s="271"/>
      <c r="M58" s="271"/>
    </row>
    <row r="59" spans="2:16" ht="31.5" customHeight="1">
      <c r="B59" s="280"/>
      <c r="C59" s="280"/>
      <c r="D59" s="176" t="s">
        <v>17</v>
      </c>
      <c r="E59" s="131">
        <v>1</v>
      </c>
      <c r="F59" s="202">
        <f>+'Camry 2.5G'!K16</f>
        <v>44133157</v>
      </c>
      <c r="G59" s="202">
        <f t="shared" si="18"/>
        <v>44133157</v>
      </c>
      <c r="H59" s="202">
        <f>+'Camry 2.5G'!K60</f>
        <v>35764522</v>
      </c>
      <c r="I59" s="202">
        <f t="shared" si="19"/>
        <v>35764522</v>
      </c>
      <c r="J59" s="212">
        <f t="shared" si="20"/>
        <v>-8368635</v>
      </c>
      <c r="K59" s="271"/>
      <c r="L59" s="271"/>
      <c r="M59" s="271"/>
    </row>
    <row r="60" spans="2:16" ht="31.5" customHeight="1">
      <c r="B60" s="281"/>
      <c r="C60" s="281"/>
      <c r="D60" s="194" t="s">
        <v>48</v>
      </c>
      <c r="E60" s="178">
        <f t="shared" ref="E60:J60" si="21">SUM(E57:E59)</f>
        <v>3</v>
      </c>
      <c r="F60" s="214">
        <f t="shared" si="21"/>
        <v>132442071</v>
      </c>
      <c r="G60" s="214">
        <f t="shared" si="21"/>
        <v>132442071</v>
      </c>
      <c r="H60" s="214">
        <f t="shared" si="21"/>
        <v>107235766</v>
      </c>
      <c r="I60" s="214">
        <f t="shared" si="21"/>
        <v>107235766</v>
      </c>
      <c r="J60" s="217">
        <f t="shared" si="21"/>
        <v>-25206305</v>
      </c>
      <c r="K60" s="272" t="s">
        <v>49</v>
      </c>
      <c r="L60" s="273"/>
      <c r="M60" s="273"/>
      <c r="N60" s="21">
        <f>J56-J60</f>
        <v>21635834</v>
      </c>
    </row>
    <row r="61" spans="2:16" ht="27" customHeight="1">
      <c r="B61" s="279" t="s">
        <v>6</v>
      </c>
      <c r="C61" s="279" t="s">
        <v>50</v>
      </c>
      <c r="D61" s="176" t="s">
        <v>10</v>
      </c>
      <c r="E61" s="131">
        <v>11</v>
      </c>
      <c r="F61" s="202">
        <f t="shared" ref="F61:F65" si="22">+G61/E61</f>
        <v>31078772.727272727</v>
      </c>
      <c r="G61" s="202">
        <f>+Fortuner!E16</f>
        <v>341866500</v>
      </c>
      <c r="H61" s="202">
        <f t="shared" ref="H61:H65" si="23">+I61/E61</f>
        <v>32341679.09090909</v>
      </c>
      <c r="I61" s="202">
        <f>+Fortuner!E78</f>
        <v>355758470</v>
      </c>
      <c r="J61" s="212">
        <f t="shared" ref="J61:J65" si="24">+I61-G61</f>
        <v>13891970</v>
      </c>
      <c r="K61" s="270" t="s">
        <v>24</v>
      </c>
      <c r="L61" s="271"/>
      <c r="M61" s="271"/>
      <c r="N61" s="21">
        <f>N60/23000</f>
        <v>940.68843478260874</v>
      </c>
      <c r="O61">
        <f t="shared" ref="O61:O64" si="25">+F61/4000</f>
        <v>7769.693181818182</v>
      </c>
      <c r="P61">
        <f t="shared" ref="P61:P64" si="26">+H61/4300</f>
        <v>7521.3207188160677</v>
      </c>
    </row>
    <row r="62" spans="2:16" ht="28.5" customHeight="1">
      <c r="B62" s="280"/>
      <c r="C62" s="280"/>
      <c r="D62" s="176" t="s">
        <v>15</v>
      </c>
      <c r="E62" s="131">
        <v>7</v>
      </c>
      <c r="F62" s="202">
        <f t="shared" si="22"/>
        <v>31942000</v>
      </c>
      <c r="G62" s="202">
        <f>+Fortuner!H16</f>
        <v>223594000</v>
      </c>
      <c r="H62" s="202">
        <f t="shared" si="23"/>
        <v>36151184.285714284</v>
      </c>
      <c r="I62" s="202">
        <f>+Fortuner!H78</f>
        <v>253058290</v>
      </c>
      <c r="J62" s="212">
        <f t="shared" si="24"/>
        <v>29464290</v>
      </c>
      <c r="K62" s="291" t="s">
        <v>51</v>
      </c>
      <c r="L62" s="292"/>
      <c r="M62" s="293"/>
      <c r="N62" s="22" t="s">
        <v>52</v>
      </c>
      <c r="O62">
        <f t="shared" si="25"/>
        <v>7985.5</v>
      </c>
      <c r="P62">
        <f t="shared" si="26"/>
        <v>8407.2521594684385</v>
      </c>
    </row>
    <row r="63" spans="2:16" ht="28.5" customHeight="1">
      <c r="B63" s="280"/>
      <c r="C63" s="280"/>
      <c r="D63" s="176" t="s">
        <v>17</v>
      </c>
      <c r="E63" s="131">
        <v>1</v>
      </c>
      <c r="F63" s="202">
        <f>+Fortuner!E32</f>
        <v>44789186</v>
      </c>
      <c r="G63" s="202">
        <f>+F63*E63</f>
        <v>44789186</v>
      </c>
      <c r="H63" s="202">
        <f>+Fortuner!H32</f>
        <v>35320438</v>
      </c>
      <c r="I63" s="202">
        <f>+H63*E63</f>
        <v>35320438</v>
      </c>
      <c r="J63" s="212">
        <f t="shared" si="24"/>
        <v>-9468748</v>
      </c>
      <c r="K63" s="294"/>
      <c r="L63" s="295"/>
      <c r="M63" s="296"/>
      <c r="N63" s="22"/>
      <c r="O63">
        <f t="shared" si="25"/>
        <v>11197.2965</v>
      </c>
      <c r="P63">
        <f t="shared" si="26"/>
        <v>8214.0553488372097</v>
      </c>
    </row>
    <row r="64" spans="2:16" ht="28.5" customHeight="1">
      <c r="B64" s="280"/>
      <c r="C64" s="281"/>
      <c r="D64" s="176" t="s">
        <v>17</v>
      </c>
      <c r="E64" s="131">
        <v>7</v>
      </c>
      <c r="F64" s="202">
        <f t="shared" si="22"/>
        <v>31579357.142857142</v>
      </c>
      <c r="G64" s="202">
        <f>+Fortuner!K16</f>
        <v>221055500</v>
      </c>
      <c r="H64" s="202">
        <f t="shared" si="23"/>
        <v>35820231.904761903</v>
      </c>
      <c r="I64" s="202">
        <f>+Fortuner!K78</f>
        <v>250741623.33333334</v>
      </c>
      <c r="J64" s="212">
        <f t="shared" si="24"/>
        <v>29686123.333333343</v>
      </c>
      <c r="K64" s="297"/>
      <c r="L64" s="298"/>
      <c r="M64" s="299"/>
      <c r="O64">
        <f t="shared" si="25"/>
        <v>7894.8392857142853</v>
      </c>
      <c r="P64">
        <f t="shared" si="26"/>
        <v>8330.286489479513</v>
      </c>
    </row>
    <row r="65" spans="2:16" ht="37.5" customHeight="1">
      <c r="B65" s="280"/>
      <c r="C65" s="162" t="s">
        <v>53</v>
      </c>
      <c r="D65" s="176" t="s">
        <v>15</v>
      </c>
      <c r="E65" s="131">
        <v>1</v>
      </c>
      <c r="F65" s="202">
        <f t="shared" si="22"/>
        <v>44977000</v>
      </c>
      <c r="G65" s="202">
        <f>+Fortuner!N16</f>
        <v>44977000</v>
      </c>
      <c r="H65" s="202">
        <f t="shared" si="23"/>
        <v>42965470</v>
      </c>
      <c r="I65" s="202">
        <f>+Fortuner!N78</f>
        <v>42965470</v>
      </c>
      <c r="J65" s="212">
        <f t="shared" si="24"/>
        <v>-2011530</v>
      </c>
      <c r="K65" s="270" t="s">
        <v>54</v>
      </c>
      <c r="L65" s="271"/>
      <c r="M65" s="271"/>
      <c r="O65">
        <f>+F65/2600</f>
        <v>17298.846153846152</v>
      </c>
      <c r="P65">
        <f>+H65/4500</f>
        <v>9547.8822222222225</v>
      </c>
    </row>
    <row r="66" spans="2:16" ht="25.5" customHeight="1">
      <c r="B66" s="281"/>
      <c r="C66" s="213"/>
      <c r="D66" s="194" t="s">
        <v>48</v>
      </c>
      <c r="E66" s="178">
        <f t="shared" ref="E66:J66" si="27">SUM(E61:E65)</f>
        <v>27</v>
      </c>
      <c r="F66" s="214">
        <f t="shared" si="27"/>
        <v>184366315.87012985</v>
      </c>
      <c r="G66" s="214">
        <f t="shared" si="27"/>
        <v>876282186</v>
      </c>
      <c r="H66" s="214">
        <f t="shared" si="27"/>
        <v>182599003.28138527</v>
      </c>
      <c r="I66" s="214">
        <f t="shared" si="27"/>
        <v>937844291.33333337</v>
      </c>
      <c r="J66" s="217">
        <f t="shared" si="27"/>
        <v>61562105.333333343</v>
      </c>
      <c r="K66" s="272" t="s">
        <v>55</v>
      </c>
      <c r="L66" s="273"/>
      <c r="M66" s="273"/>
      <c r="O66" s="21"/>
    </row>
    <row r="67" spans="2:16" ht="27" customHeight="1">
      <c r="B67" s="279" t="s">
        <v>5</v>
      </c>
      <c r="C67" s="279" t="s">
        <v>50</v>
      </c>
      <c r="D67" s="176" t="s">
        <v>10</v>
      </c>
      <c r="E67" s="131">
        <v>11</v>
      </c>
      <c r="F67" s="202">
        <f t="shared" ref="F67:F71" si="28">+G67/E67</f>
        <v>31078772.727272727</v>
      </c>
      <c r="G67" s="202">
        <f>+Fortuner!E16</f>
        <v>341866500</v>
      </c>
      <c r="H67" s="202">
        <f t="shared" ref="H67:H71" si="29">+I67/E67</f>
        <v>40330603.636363633</v>
      </c>
      <c r="I67" s="202">
        <f>+Fortuner!E62</f>
        <v>443636640</v>
      </c>
      <c r="J67" s="212">
        <f t="shared" ref="J67:J71" si="30">+I67-G67</f>
        <v>101770140</v>
      </c>
      <c r="K67" s="270" t="s">
        <v>24</v>
      </c>
      <c r="L67" s="271"/>
      <c r="M67" s="271"/>
    </row>
    <row r="68" spans="2:16" ht="28.5" customHeight="1">
      <c r="B68" s="280"/>
      <c r="C68" s="280"/>
      <c r="D68" s="176" t="s">
        <v>15</v>
      </c>
      <c r="E68" s="131">
        <v>7</v>
      </c>
      <c r="F68" s="202">
        <f t="shared" si="28"/>
        <v>31942000</v>
      </c>
      <c r="G68" s="202">
        <f>+Fortuner!H16</f>
        <v>223594000</v>
      </c>
      <c r="H68" s="202">
        <f t="shared" si="29"/>
        <v>45020117.142857142</v>
      </c>
      <c r="I68" s="202">
        <f>+Fortuner!H62</f>
        <v>315140820</v>
      </c>
      <c r="J68" s="212">
        <f t="shared" si="30"/>
        <v>91546820</v>
      </c>
      <c r="K68" s="291" t="s">
        <v>51</v>
      </c>
      <c r="L68" s="292"/>
      <c r="M68" s="293"/>
      <c r="N68" s="22" t="s">
        <v>52</v>
      </c>
    </row>
    <row r="69" spans="2:16" ht="28.5" customHeight="1">
      <c r="B69" s="280"/>
      <c r="C69" s="280"/>
      <c r="D69" s="176" t="s">
        <v>17</v>
      </c>
      <c r="E69" s="131">
        <v>1</v>
      </c>
      <c r="F69" s="202">
        <f>+F63</f>
        <v>44789186</v>
      </c>
      <c r="G69" s="202">
        <f>+F69*E69</f>
        <v>44789186</v>
      </c>
      <c r="H69" s="202">
        <f>+Fortuner!K32</f>
        <v>38479080</v>
      </c>
      <c r="I69" s="202">
        <f>+H69*E69</f>
        <v>38479080</v>
      </c>
      <c r="J69" s="212">
        <f t="shared" si="30"/>
        <v>-6310106</v>
      </c>
      <c r="K69" s="294"/>
      <c r="L69" s="295"/>
      <c r="M69" s="296"/>
      <c r="N69" s="22"/>
    </row>
    <row r="70" spans="2:16" ht="28.5" customHeight="1">
      <c r="B70" s="280"/>
      <c r="C70" s="281"/>
      <c r="D70" s="176" t="s">
        <v>17</v>
      </c>
      <c r="E70" s="131">
        <v>7</v>
      </c>
      <c r="F70" s="202">
        <f t="shared" si="28"/>
        <v>31579357.142857142</v>
      </c>
      <c r="G70" s="202">
        <f>+Fortuner!K16</f>
        <v>221055500</v>
      </c>
      <c r="H70" s="202">
        <f t="shared" si="29"/>
        <v>44643926.666666672</v>
      </c>
      <c r="I70" s="202">
        <f>+Fortuner!K62</f>
        <v>312507486.66666669</v>
      </c>
      <c r="J70" s="212">
        <f t="shared" si="30"/>
        <v>91451986.666666687</v>
      </c>
      <c r="K70" s="297"/>
      <c r="L70" s="298"/>
      <c r="M70" s="299"/>
    </row>
    <row r="71" spans="2:16" ht="37.5" customHeight="1">
      <c r="B71" s="280"/>
      <c r="C71" s="162" t="s">
        <v>53</v>
      </c>
      <c r="D71" s="176" t="s">
        <v>15</v>
      </c>
      <c r="E71" s="131">
        <v>1</v>
      </c>
      <c r="F71" s="202">
        <f t="shared" si="28"/>
        <v>44977000</v>
      </c>
      <c r="G71" s="202">
        <f>+Fortuner!N16</f>
        <v>44977000</v>
      </c>
      <c r="H71" s="202">
        <f t="shared" si="29"/>
        <v>53826900</v>
      </c>
      <c r="I71" s="202">
        <f>+Fortuner!N62</f>
        <v>53826900</v>
      </c>
      <c r="J71" s="212">
        <f t="shared" si="30"/>
        <v>8849900</v>
      </c>
      <c r="K71" s="270" t="s">
        <v>54</v>
      </c>
      <c r="L71" s="271"/>
      <c r="M71" s="271"/>
    </row>
    <row r="72" spans="2:16" ht="26.25" customHeight="1">
      <c r="B72" s="281"/>
      <c r="C72" s="213"/>
      <c r="D72" s="194" t="s">
        <v>48</v>
      </c>
      <c r="E72" s="178">
        <f t="shared" ref="E72:J72" si="31">SUM(E67:E71)</f>
        <v>27</v>
      </c>
      <c r="F72" s="214">
        <f t="shared" si="31"/>
        <v>184366315.87012985</v>
      </c>
      <c r="G72" s="214">
        <f t="shared" si="31"/>
        <v>876282186</v>
      </c>
      <c r="H72" s="214">
        <f t="shared" si="31"/>
        <v>222300627.44588745</v>
      </c>
      <c r="I72" s="214">
        <f t="shared" si="31"/>
        <v>1163590926.6666667</v>
      </c>
      <c r="J72" s="217">
        <f t="shared" si="31"/>
        <v>287308740.66666669</v>
      </c>
      <c r="K72" s="272" t="s">
        <v>57</v>
      </c>
      <c r="L72" s="273"/>
      <c r="M72" s="273"/>
      <c r="O72" s="21"/>
    </row>
    <row r="73" spans="2:16" ht="27" customHeight="1">
      <c r="B73" s="279" t="s">
        <v>7</v>
      </c>
      <c r="C73" s="279" t="s">
        <v>50</v>
      </c>
      <c r="D73" s="176" t="s">
        <v>10</v>
      </c>
      <c r="E73" s="131">
        <v>11</v>
      </c>
      <c r="F73" s="202">
        <f t="shared" ref="F73:F77" si="32">+G73/E73</f>
        <v>31078772.727272727</v>
      </c>
      <c r="G73" s="202">
        <f>+Fortuner!E16</f>
        <v>341866500</v>
      </c>
      <c r="H73" s="202">
        <f t="shared" ref="H73:H77" si="33">+I73/E73</f>
        <v>37980073.454545453</v>
      </c>
      <c r="I73" s="202">
        <f>+Fortuner!E99</f>
        <v>417780808</v>
      </c>
      <c r="J73" s="212">
        <f t="shared" ref="J73:J77" si="34">+I73-G73</f>
        <v>75914308</v>
      </c>
      <c r="K73" s="270" t="s">
        <v>24</v>
      </c>
      <c r="L73" s="271"/>
      <c r="M73" s="271"/>
    </row>
    <row r="74" spans="2:16" ht="28.5" customHeight="1">
      <c r="B74" s="280"/>
      <c r="C74" s="280"/>
      <c r="D74" s="176" t="s">
        <v>15</v>
      </c>
      <c r="E74" s="131">
        <v>7</v>
      </c>
      <c r="F74" s="202">
        <f t="shared" si="32"/>
        <v>31942000</v>
      </c>
      <c r="G74" s="202">
        <f>+Fortuner!H16</f>
        <v>223594000</v>
      </c>
      <c r="H74" s="202">
        <f t="shared" si="33"/>
        <v>40078004.142857142</v>
      </c>
      <c r="I74" s="202">
        <f>+Fortuner!H99</f>
        <v>280546029</v>
      </c>
      <c r="J74" s="212">
        <f t="shared" si="34"/>
        <v>56952029</v>
      </c>
      <c r="K74" s="291" t="s">
        <v>51</v>
      </c>
      <c r="L74" s="292"/>
      <c r="M74" s="293"/>
      <c r="N74" s="22" t="s">
        <v>52</v>
      </c>
    </row>
    <row r="75" spans="2:16" ht="28.5" customHeight="1">
      <c r="B75" s="280"/>
      <c r="C75" s="280"/>
      <c r="D75" s="176" t="s">
        <v>17</v>
      </c>
      <c r="E75" s="131">
        <v>1</v>
      </c>
      <c r="F75" s="202">
        <f>+F63</f>
        <v>44789186</v>
      </c>
      <c r="G75" s="202">
        <f>+F75*E75</f>
        <v>44789186</v>
      </c>
      <c r="H75" s="202">
        <f>+Fortuner!N32</f>
        <v>38618478</v>
      </c>
      <c r="I75" s="202">
        <f>+H75*E75</f>
        <v>38618478</v>
      </c>
      <c r="J75" s="212">
        <f t="shared" si="34"/>
        <v>-6170708</v>
      </c>
      <c r="K75" s="294"/>
      <c r="L75" s="295"/>
      <c r="M75" s="296"/>
      <c r="N75" s="22"/>
    </row>
    <row r="76" spans="2:16" ht="28.5" customHeight="1">
      <c r="B76" s="280"/>
      <c r="C76" s="281"/>
      <c r="D76" s="176" t="s">
        <v>17</v>
      </c>
      <c r="E76" s="131">
        <v>7</v>
      </c>
      <c r="F76" s="202">
        <f t="shared" si="32"/>
        <v>31579357.142857142</v>
      </c>
      <c r="G76" s="202">
        <f>+Fortuner!K16</f>
        <v>221055500</v>
      </c>
      <c r="H76" s="202">
        <f t="shared" si="33"/>
        <v>39857766.047619045</v>
      </c>
      <c r="I76" s="202">
        <f>+Fortuner!K99</f>
        <v>279004362.33333331</v>
      </c>
      <c r="J76" s="212">
        <f t="shared" si="34"/>
        <v>57948862.333333313</v>
      </c>
      <c r="K76" s="297"/>
      <c r="L76" s="298"/>
      <c r="M76" s="299"/>
    </row>
    <row r="77" spans="2:16" ht="37.5" customHeight="1">
      <c r="B77" s="280"/>
      <c r="C77" s="162" t="s">
        <v>53</v>
      </c>
      <c r="D77" s="176" t="s">
        <v>15</v>
      </c>
      <c r="E77" s="131">
        <v>1</v>
      </c>
      <c r="F77" s="202">
        <f t="shared" si="32"/>
        <v>44977000</v>
      </c>
      <c r="G77" s="202">
        <f>+Fortuner!N16</f>
        <v>44977000</v>
      </c>
      <c r="H77" s="202">
        <f t="shared" si="33"/>
        <v>46653112</v>
      </c>
      <c r="I77" s="202">
        <f>+Fortuner!N99</f>
        <v>46653112</v>
      </c>
      <c r="J77" s="212">
        <f t="shared" si="34"/>
        <v>1676112</v>
      </c>
      <c r="K77" s="270" t="s">
        <v>54</v>
      </c>
      <c r="L77" s="271"/>
      <c r="M77" s="271"/>
    </row>
    <row r="78" spans="2:16" ht="25.5" customHeight="1">
      <c r="B78" s="281"/>
      <c r="C78" s="213"/>
      <c r="D78" s="194" t="s">
        <v>48</v>
      </c>
      <c r="E78" s="178">
        <f t="shared" ref="E78:J78" si="35">SUM(E73:E77)</f>
        <v>27</v>
      </c>
      <c r="F78" s="214">
        <f t="shared" si="35"/>
        <v>184366315.87012985</v>
      </c>
      <c r="G78" s="214">
        <f t="shared" si="35"/>
        <v>876282186</v>
      </c>
      <c r="H78" s="214">
        <f t="shared" si="35"/>
        <v>203187433.64502165</v>
      </c>
      <c r="I78" s="214">
        <f t="shared" si="35"/>
        <v>1062602789.3333333</v>
      </c>
      <c r="J78" s="217">
        <f t="shared" si="35"/>
        <v>186320603.33333331</v>
      </c>
      <c r="K78" s="272" t="s">
        <v>56</v>
      </c>
      <c r="L78" s="273"/>
      <c r="M78" s="273"/>
      <c r="O78" s="21"/>
    </row>
    <row r="79" spans="2:16" ht="27" customHeight="1">
      <c r="B79" s="279" t="s">
        <v>6</v>
      </c>
      <c r="C79" s="279" t="s">
        <v>58</v>
      </c>
      <c r="D79" s="176" t="s">
        <v>10</v>
      </c>
      <c r="E79" s="131">
        <v>11</v>
      </c>
      <c r="F79" s="202">
        <f t="shared" ref="F79:F83" si="36">+G79/E79</f>
        <v>31078772.727272727</v>
      </c>
      <c r="G79" s="202">
        <f t="shared" ref="G79:G82" si="37">+G67</f>
        <v>341866500</v>
      </c>
      <c r="H79" s="202">
        <f t="shared" ref="H79:H83" si="38">+I79/E79</f>
        <v>29316184.90909091</v>
      </c>
      <c r="I79" s="202">
        <f>+Xpander!E59</f>
        <v>322478034</v>
      </c>
      <c r="J79" s="212">
        <f t="shared" ref="J79:J83" si="39">+I79-G79</f>
        <v>-19388466</v>
      </c>
      <c r="K79" s="270" t="s">
        <v>24</v>
      </c>
      <c r="L79" s="271"/>
      <c r="M79" s="271"/>
    </row>
    <row r="80" spans="2:16" ht="28.5" customHeight="1">
      <c r="B80" s="280"/>
      <c r="C80" s="280"/>
      <c r="D80" s="176" t="s">
        <v>15</v>
      </c>
      <c r="E80" s="131">
        <v>7</v>
      </c>
      <c r="F80" s="202">
        <f t="shared" si="36"/>
        <v>31942000</v>
      </c>
      <c r="G80" s="202">
        <f t="shared" si="37"/>
        <v>223594000</v>
      </c>
      <c r="H80" s="202">
        <f t="shared" si="38"/>
        <v>33641628.285714284</v>
      </c>
      <c r="I80" s="202">
        <f>+Xpander!H59</f>
        <v>235491398</v>
      </c>
      <c r="J80" s="212">
        <f t="shared" si="39"/>
        <v>11897398</v>
      </c>
      <c r="K80" s="291" t="s">
        <v>51</v>
      </c>
      <c r="L80" s="292"/>
      <c r="M80" s="293"/>
      <c r="N80" s="22" t="s">
        <v>52</v>
      </c>
    </row>
    <row r="81" spans="2:15" ht="28.5" customHeight="1">
      <c r="B81" s="280"/>
      <c r="C81" s="280"/>
      <c r="D81" s="176" t="s">
        <v>17</v>
      </c>
      <c r="E81" s="131">
        <v>1</v>
      </c>
      <c r="F81" s="202">
        <f>+G81</f>
        <v>44789186</v>
      </c>
      <c r="G81" s="202">
        <f t="shared" si="37"/>
        <v>44789186</v>
      </c>
      <c r="H81" s="202">
        <f>+Xpander!K104</f>
        <v>33400914</v>
      </c>
      <c r="I81" s="202">
        <f>+H81*E81</f>
        <v>33400914</v>
      </c>
      <c r="J81" s="212">
        <f t="shared" si="39"/>
        <v>-11388272</v>
      </c>
      <c r="K81" s="294"/>
      <c r="L81" s="295"/>
      <c r="M81" s="296"/>
      <c r="N81" s="22"/>
    </row>
    <row r="82" spans="2:15" ht="28.5" customHeight="1">
      <c r="B82" s="280"/>
      <c r="C82" s="281"/>
      <c r="D82" s="176" t="s">
        <v>17</v>
      </c>
      <c r="E82" s="131">
        <v>7</v>
      </c>
      <c r="F82" s="202">
        <f t="shared" si="36"/>
        <v>31579357.142857142</v>
      </c>
      <c r="G82" s="202">
        <f t="shared" si="37"/>
        <v>221055500</v>
      </c>
      <c r="H82" s="202">
        <f t="shared" si="38"/>
        <v>33363056.857142854</v>
      </c>
      <c r="I82" s="202">
        <f>+Xpander!K59</f>
        <v>233541397.99999997</v>
      </c>
      <c r="J82" s="212">
        <f t="shared" si="39"/>
        <v>12485897.99999997</v>
      </c>
      <c r="K82" s="297"/>
      <c r="L82" s="298"/>
      <c r="M82" s="299"/>
    </row>
    <row r="83" spans="2:15" ht="37.5" customHeight="1">
      <c r="B83" s="280"/>
      <c r="C83" s="162" t="s">
        <v>59</v>
      </c>
      <c r="D83" s="176" t="s">
        <v>15</v>
      </c>
      <c r="E83" s="131">
        <v>1</v>
      </c>
      <c r="F83" s="202">
        <f t="shared" si="36"/>
        <v>44977000</v>
      </c>
      <c r="G83" s="202">
        <f>+G65</f>
        <v>44977000</v>
      </c>
      <c r="H83" s="202">
        <f t="shared" si="38"/>
        <v>40261153.968254</v>
      </c>
      <c r="I83" s="202">
        <f>+Xpander!N59</f>
        <v>40261153.968254</v>
      </c>
      <c r="J83" s="212">
        <f t="shared" si="39"/>
        <v>-4715846.0317460001</v>
      </c>
      <c r="K83" s="270" t="s">
        <v>54</v>
      </c>
      <c r="L83" s="271"/>
      <c r="M83" s="271"/>
    </row>
    <row r="84" spans="2:15" ht="25.5" customHeight="1">
      <c r="B84" s="281"/>
      <c r="C84" s="213"/>
      <c r="D84" s="194" t="s">
        <v>48</v>
      </c>
      <c r="E84" s="178">
        <f t="shared" ref="E84:J84" si="40">SUM(E79:E83)</f>
        <v>27</v>
      </c>
      <c r="F84" s="214">
        <f t="shared" si="40"/>
        <v>184366315.87012985</v>
      </c>
      <c r="G84" s="214">
        <f t="shared" si="40"/>
        <v>876282186</v>
      </c>
      <c r="H84" s="214">
        <f t="shared" si="40"/>
        <v>169982938.02020204</v>
      </c>
      <c r="I84" s="214">
        <f t="shared" si="40"/>
        <v>865172897.96825397</v>
      </c>
      <c r="J84" s="217">
        <f t="shared" si="40"/>
        <v>-11109288.03174603</v>
      </c>
      <c r="K84" s="273"/>
      <c r="L84" s="273"/>
      <c r="M84" s="273"/>
      <c r="O84" s="21"/>
    </row>
    <row r="85" spans="2:15" ht="32.1" customHeight="1">
      <c r="B85" s="276" t="s">
        <v>4</v>
      </c>
      <c r="C85" s="276" t="s">
        <v>60</v>
      </c>
      <c r="D85" s="176" t="s">
        <v>61</v>
      </c>
      <c r="E85" s="131">
        <v>18</v>
      </c>
      <c r="F85" s="202">
        <f>G85/E85</f>
        <v>43991472.081349209</v>
      </c>
      <c r="G85" s="202">
        <f>'11 seats (Hiace)'!E15</f>
        <v>791846497.46428573</v>
      </c>
      <c r="H85" s="202">
        <f>I85/E85</f>
        <v>41623202.470238097</v>
      </c>
      <c r="I85" s="202">
        <f>'11 seats (Hiace)'!E30</f>
        <v>749217644.46428573</v>
      </c>
      <c r="J85" s="212">
        <f>+I85-G85</f>
        <v>-42628853</v>
      </c>
      <c r="K85" s="270" t="s">
        <v>24</v>
      </c>
      <c r="L85" s="271"/>
      <c r="M85" s="271"/>
    </row>
    <row r="86" spans="2:15" ht="30" customHeight="1">
      <c r="B86" s="277"/>
      <c r="C86" s="277"/>
      <c r="D86" s="176" t="s">
        <v>63</v>
      </c>
      <c r="E86" s="131">
        <v>10</v>
      </c>
      <c r="F86" s="202">
        <f>G86/E86</f>
        <v>47874595.346428573</v>
      </c>
      <c r="G86" s="202">
        <f>'11 seats (Hiace)'!Q15</f>
        <v>478745953.46428573</v>
      </c>
      <c r="H86" s="202">
        <f>I86/E86</f>
        <v>45347284.446428575</v>
      </c>
      <c r="I86" s="202">
        <f>'11 seats (Hiace)'!E45</f>
        <v>453472844.46428573</v>
      </c>
      <c r="J86" s="212">
        <f>+I86-G86</f>
        <v>-25273109</v>
      </c>
      <c r="K86" s="271"/>
      <c r="L86" s="271"/>
      <c r="M86" s="271"/>
    </row>
    <row r="87" spans="2:15" ht="33" customHeight="1">
      <c r="B87" s="277"/>
      <c r="C87" s="277"/>
      <c r="D87" s="162" t="s">
        <v>64</v>
      </c>
      <c r="E87" s="176">
        <v>8</v>
      </c>
      <c r="F87" s="218"/>
      <c r="G87" s="218"/>
      <c r="H87" s="202">
        <v>52823000</v>
      </c>
      <c r="I87" s="202">
        <f t="shared" ref="I87:I92" si="41">H87*$E$87</f>
        <v>422584000</v>
      </c>
      <c r="J87" s="219"/>
      <c r="K87" s="271"/>
      <c r="L87" s="271"/>
      <c r="M87" s="271"/>
    </row>
    <row r="88" spans="2:15" ht="33" customHeight="1">
      <c r="B88" s="277"/>
      <c r="C88" s="277"/>
      <c r="D88" s="162" t="s">
        <v>65</v>
      </c>
      <c r="E88" s="176">
        <v>8</v>
      </c>
      <c r="F88" s="218"/>
      <c r="G88" s="218"/>
      <c r="H88" s="202">
        <v>48728000</v>
      </c>
      <c r="I88" s="202">
        <f t="shared" si="41"/>
        <v>389824000</v>
      </c>
      <c r="J88" s="219"/>
      <c r="K88" s="271"/>
      <c r="L88" s="271"/>
      <c r="M88" s="271"/>
    </row>
    <row r="89" spans="2:15" ht="33" customHeight="1">
      <c r="B89" s="277"/>
      <c r="C89" s="277"/>
      <c r="D89" s="162" t="s">
        <v>66</v>
      </c>
      <c r="E89" s="176">
        <v>8</v>
      </c>
      <c r="F89" s="218"/>
      <c r="G89" s="218"/>
      <c r="H89" s="202">
        <v>45794000</v>
      </c>
      <c r="I89" s="202">
        <f t="shared" si="41"/>
        <v>366352000</v>
      </c>
      <c r="J89" s="219"/>
      <c r="K89" s="271"/>
      <c r="L89" s="271"/>
      <c r="M89" s="271"/>
    </row>
    <row r="90" spans="2:15" ht="33" customHeight="1">
      <c r="B90" s="277"/>
      <c r="C90" s="277"/>
      <c r="D90" s="162" t="s">
        <v>67</v>
      </c>
      <c r="E90" s="176">
        <v>8</v>
      </c>
      <c r="F90" s="218"/>
      <c r="G90" s="218"/>
      <c r="H90" s="202">
        <v>42657000</v>
      </c>
      <c r="I90" s="202">
        <f t="shared" si="41"/>
        <v>341256000</v>
      </c>
      <c r="J90" s="219"/>
      <c r="K90" s="271"/>
      <c r="L90" s="271"/>
      <c r="M90" s="271"/>
    </row>
    <row r="91" spans="2:15" ht="33" customHeight="1">
      <c r="B91" s="277"/>
      <c r="C91" s="277"/>
      <c r="D91" s="162" t="s">
        <v>68</v>
      </c>
      <c r="E91" s="176" t="s">
        <v>69</v>
      </c>
      <c r="F91" s="218"/>
      <c r="G91" s="218"/>
      <c r="H91" s="202">
        <v>49308500</v>
      </c>
      <c r="I91" s="202">
        <f t="shared" si="41"/>
        <v>394468000</v>
      </c>
      <c r="J91" s="219"/>
      <c r="K91" s="271"/>
      <c r="L91" s="271"/>
      <c r="M91" s="271"/>
    </row>
    <row r="92" spans="2:15" ht="33" customHeight="1">
      <c r="B92" s="277"/>
      <c r="C92" s="277"/>
      <c r="D92" s="162" t="s">
        <v>70</v>
      </c>
      <c r="E92" s="176" t="s">
        <v>69</v>
      </c>
      <c r="F92" s="218"/>
      <c r="G92" s="218"/>
      <c r="H92" s="202">
        <v>45692500</v>
      </c>
      <c r="I92" s="202">
        <f t="shared" si="41"/>
        <v>365540000</v>
      </c>
      <c r="J92" s="219"/>
      <c r="K92" s="271"/>
      <c r="L92" s="271"/>
      <c r="M92" s="271"/>
    </row>
    <row r="93" spans="2:15" ht="33" customHeight="1">
      <c r="B93" s="277"/>
      <c r="C93" s="277"/>
      <c r="D93" s="176" t="s">
        <v>71</v>
      </c>
      <c r="E93" s="176"/>
      <c r="F93" s="202"/>
      <c r="G93" s="202">
        <f t="shared" ref="G93:G98" si="42">$G$85</f>
        <v>791846497.46428573</v>
      </c>
      <c r="H93" s="202"/>
      <c r="I93" s="202">
        <f t="shared" ref="I93:I98" si="43">$I$86+I87</f>
        <v>876056844.46428573</v>
      </c>
      <c r="J93" s="212">
        <f t="shared" ref="J93:J100" si="44">+I93-G93</f>
        <v>84210347</v>
      </c>
      <c r="K93" s="271"/>
      <c r="L93" s="271"/>
      <c r="M93" s="271"/>
    </row>
    <row r="94" spans="2:15" ht="33" customHeight="1">
      <c r="B94" s="277"/>
      <c r="C94" s="277"/>
      <c r="D94" s="176" t="s">
        <v>72</v>
      </c>
      <c r="E94" s="176"/>
      <c r="F94" s="202"/>
      <c r="G94" s="202">
        <f t="shared" si="42"/>
        <v>791846497.46428573</v>
      </c>
      <c r="H94" s="202"/>
      <c r="I94" s="202">
        <f t="shared" si="43"/>
        <v>843296844.46428573</v>
      </c>
      <c r="J94" s="212">
        <f t="shared" si="44"/>
        <v>51450347</v>
      </c>
      <c r="K94" s="271"/>
      <c r="L94" s="271"/>
      <c r="M94" s="271"/>
    </row>
    <row r="95" spans="2:15" ht="33" customHeight="1">
      <c r="B95" s="277"/>
      <c r="C95" s="277"/>
      <c r="D95" s="176" t="s">
        <v>73</v>
      </c>
      <c r="E95" s="176"/>
      <c r="F95" s="202"/>
      <c r="G95" s="202">
        <f t="shared" si="42"/>
        <v>791846497.46428573</v>
      </c>
      <c r="H95" s="202"/>
      <c r="I95" s="202">
        <f t="shared" si="43"/>
        <v>819824844.46428573</v>
      </c>
      <c r="J95" s="212">
        <f t="shared" si="44"/>
        <v>27978347</v>
      </c>
      <c r="K95" s="271"/>
      <c r="L95" s="271"/>
      <c r="M95" s="271"/>
    </row>
    <row r="96" spans="2:15" ht="33" customHeight="1">
      <c r="B96" s="277"/>
      <c r="C96" s="277"/>
      <c r="D96" s="176" t="s">
        <v>74</v>
      </c>
      <c r="E96" s="176"/>
      <c r="F96" s="202"/>
      <c r="G96" s="202">
        <f t="shared" si="42"/>
        <v>791846497.46428573</v>
      </c>
      <c r="H96" s="202"/>
      <c r="I96" s="202">
        <f t="shared" si="43"/>
        <v>794728844.46428573</v>
      </c>
      <c r="J96" s="212">
        <f t="shared" si="44"/>
        <v>2882347</v>
      </c>
      <c r="K96" s="271"/>
      <c r="L96" s="271"/>
      <c r="M96" s="271"/>
    </row>
    <row r="97" spans="2:13" ht="33" customHeight="1">
      <c r="B97" s="277"/>
      <c r="C97" s="277"/>
      <c r="D97" s="176" t="s">
        <v>75</v>
      </c>
      <c r="E97" s="176"/>
      <c r="F97" s="202"/>
      <c r="G97" s="202">
        <f t="shared" si="42"/>
        <v>791846497.46428573</v>
      </c>
      <c r="H97" s="202"/>
      <c r="I97" s="202">
        <f t="shared" si="43"/>
        <v>847940844.46428573</v>
      </c>
      <c r="J97" s="212">
        <f t="shared" si="44"/>
        <v>56094347</v>
      </c>
      <c r="K97" s="271"/>
      <c r="L97" s="271"/>
      <c r="M97" s="271"/>
    </row>
    <row r="98" spans="2:13" ht="33" customHeight="1">
      <c r="B98" s="277"/>
      <c r="C98" s="277"/>
      <c r="D98" s="176" t="s">
        <v>76</v>
      </c>
      <c r="E98" s="176"/>
      <c r="F98" s="202"/>
      <c r="G98" s="202">
        <f t="shared" si="42"/>
        <v>791846497.46428573</v>
      </c>
      <c r="H98" s="202"/>
      <c r="I98" s="202">
        <f t="shared" si="43"/>
        <v>819012844.46428573</v>
      </c>
      <c r="J98" s="210">
        <f t="shared" si="44"/>
        <v>27166347</v>
      </c>
      <c r="K98" s="271"/>
      <c r="L98" s="271"/>
      <c r="M98" s="271"/>
    </row>
    <row r="99" spans="2:13" ht="32.1" customHeight="1">
      <c r="B99" s="276"/>
      <c r="C99" s="276" t="s">
        <v>77</v>
      </c>
      <c r="D99" s="176" t="s">
        <v>61</v>
      </c>
      <c r="E99" s="131">
        <v>19</v>
      </c>
      <c r="F99" s="202">
        <f>G99/E99</f>
        <v>50316781.684210524</v>
      </c>
      <c r="G99" s="202">
        <f>'11 seats (Hiace)'!H15</f>
        <v>956018852</v>
      </c>
      <c r="H99" s="202">
        <f>I99/E99</f>
        <v>46956135.789473683</v>
      </c>
      <c r="I99" s="202">
        <f>'11 seats (Hiace)'!H30</f>
        <v>892166580</v>
      </c>
      <c r="J99" s="212">
        <f t="shared" si="44"/>
        <v>-63852272</v>
      </c>
      <c r="K99" s="270" t="s">
        <v>78</v>
      </c>
      <c r="L99" s="271"/>
      <c r="M99" s="271"/>
    </row>
    <row r="100" spans="2:13" ht="30" customHeight="1">
      <c r="B100" s="277"/>
      <c r="C100" s="277"/>
      <c r="D100" s="176" t="s">
        <v>63</v>
      </c>
      <c r="E100" s="131">
        <v>7</v>
      </c>
      <c r="F100" s="202">
        <f>G100/E100</f>
        <v>59210156.571428575</v>
      </c>
      <c r="G100" s="202">
        <f>'11 seats (Hiace)'!T15</f>
        <v>414471096</v>
      </c>
      <c r="H100" s="202">
        <f>I100/E100</f>
        <v>55703968.571428575</v>
      </c>
      <c r="I100" s="202">
        <f>'11 seats (Hiace)'!H45</f>
        <v>389927780</v>
      </c>
      <c r="J100" s="212">
        <f t="shared" si="44"/>
        <v>-24543316</v>
      </c>
      <c r="K100" s="271"/>
      <c r="L100" s="271"/>
      <c r="M100" s="271"/>
    </row>
    <row r="101" spans="2:13" ht="33" customHeight="1">
      <c r="B101" s="277"/>
      <c r="C101" s="277"/>
      <c r="D101" s="162" t="s">
        <v>79</v>
      </c>
      <c r="E101" s="176">
        <v>12</v>
      </c>
      <c r="F101" s="218"/>
      <c r="G101" s="218"/>
      <c r="H101" s="202">
        <v>55697000</v>
      </c>
      <c r="I101" s="202">
        <f t="shared" ref="I101:I104" si="45">H101*$E$101</f>
        <v>668364000</v>
      </c>
      <c r="J101" s="219"/>
      <c r="K101" s="271"/>
      <c r="L101" s="271"/>
      <c r="M101" s="271"/>
    </row>
    <row r="102" spans="2:13" ht="33" customHeight="1">
      <c r="B102" s="277"/>
      <c r="C102" s="277"/>
      <c r="D102" s="162" t="s">
        <v>80</v>
      </c>
      <c r="E102" s="176">
        <v>12</v>
      </c>
      <c r="F102" s="218"/>
      <c r="G102" s="218"/>
      <c r="H102" s="202">
        <v>51602000</v>
      </c>
      <c r="I102" s="202">
        <f t="shared" si="45"/>
        <v>619224000</v>
      </c>
      <c r="J102" s="219"/>
      <c r="K102" s="271"/>
      <c r="L102" s="271"/>
      <c r="M102" s="271"/>
    </row>
    <row r="103" spans="2:13" ht="33" customHeight="1">
      <c r="B103" s="277"/>
      <c r="C103" s="277"/>
      <c r="D103" s="162" t="s">
        <v>81</v>
      </c>
      <c r="E103" s="176">
        <v>12</v>
      </c>
      <c r="F103" s="218"/>
      <c r="G103" s="218"/>
      <c r="H103" s="202">
        <v>48668000</v>
      </c>
      <c r="I103" s="202">
        <f t="shared" si="45"/>
        <v>584016000</v>
      </c>
      <c r="J103" s="219"/>
      <c r="K103" s="271"/>
      <c r="L103" s="271"/>
      <c r="M103" s="271"/>
    </row>
    <row r="104" spans="2:13" ht="33" customHeight="1">
      <c r="B104" s="277"/>
      <c r="C104" s="277"/>
      <c r="D104" s="162" t="s">
        <v>82</v>
      </c>
      <c r="E104" s="176">
        <v>12</v>
      </c>
      <c r="F104" s="218"/>
      <c r="G104" s="218"/>
      <c r="H104" s="202">
        <v>45531000</v>
      </c>
      <c r="I104" s="202">
        <f t="shared" si="45"/>
        <v>546372000</v>
      </c>
      <c r="J104" s="219"/>
      <c r="K104" s="271"/>
      <c r="L104" s="271"/>
      <c r="M104" s="271"/>
    </row>
    <row r="105" spans="2:13" ht="33" customHeight="1">
      <c r="B105" s="277"/>
      <c r="C105" s="277"/>
      <c r="D105" s="162" t="s">
        <v>83</v>
      </c>
      <c r="E105" s="176" t="s">
        <v>126</v>
      </c>
      <c r="F105" s="218"/>
      <c r="G105" s="218"/>
      <c r="H105" s="202">
        <f>I105/E101</f>
        <v>52182500</v>
      </c>
      <c r="I105" s="202">
        <f>H101*6+H103*6</f>
        <v>626190000</v>
      </c>
      <c r="J105" s="219"/>
      <c r="K105" s="271"/>
      <c r="L105" s="271"/>
      <c r="M105" s="271"/>
    </row>
    <row r="106" spans="2:13" ht="33" customHeight="1">
      <c r="B106" s="277"/>
      <c r="C106" s="277"/>
      <c r="D106" s="162" t="s">
        <v>85</v>
      </c>
      <c r="E106" s="176" t="s">
        <v>126</v>
      </c>
      <c r="F106" s="218"/>
      <c r="G106" s="218"/>
      <c r="H106" s="202">
        <f>I106/E101</f>
        <v>48566500</v>
      </c>
      <c r="I106" s="202">
        <f>H102*6+H104*6</f>
        <v>582798000</v>
      </c>
      <c r="J106" s="219"/>
      <c r="K106" s="271"/>
      <c r="L106" s="271"/>
      <c r="M106" s="271"/>
    </row>
    <row r="107" spans="2:13" ht="33" customHeight="1">
      <c r="B107" s="277"/>
      <c r="C107" s="277"/>
      <c r="D107" s="176" t="s">
        <v>71</v>
      </c>
      <c r="E107" s="176"/>
      <c r="F107" s="202"/>
      <c r="G107" s="202">
        <f t="shared" ref="G107:G112" si="46">$G$99</f>
        <v>956018852</v>
      </c>
      <c r="H107" s="202"/>
      <c r="I107" s="202">
        <f t="shared" ref="I107:I112" si="47">$I$100+I101</f>
        <v>1058291780</v>
      </c>
      <c r="J107" s="212">
        <f t="shared" ref="J107:J114" si="48">+I107-G107</f>
        <v>102272928</v>
      </c>
      <c r="K107" s="271"/>
      <c r="L107" s="271"/>
      <c r="M107" s="271"/>
    </row>
    <row r="108" spans="2:13" ht="33" customHeight="1">
      <c r="B108" s="277"/>
      <c r="C108" s="277"/>
      <c r="D108" s="176" t="s">
        <v>72</v>
      </c>
      <c r="E108" s="176"/>
      <c r="F108" s="202"/>
      <c r="G108" s="202">
        <f t="shared" si="46"/>
        <v>956018852</v>
      </c>
      <c r="H108" s="202"/>
      <c r="I108" s="202">
        <f t="shared" si="47"/>
        <v>1009151780</v>
      </c>
      <c r="J108" s="212">
        <f t="shared" si="48"/>
        <v>53132928</v>
      </c>
      <c r="K108" s="271"/>
      <c r="L108" s="271"/>
      <c r="M108" s="271"/>
    </row>
    <row r="109" spans="2:13" ht="33" customHeight="1">
      <c r="B109" s="277"/>
      <c r="C109" s="277"/>
      <c r="D109" s="176" t="s">
        <v>73</v>
      </c>
      <c r="E109" s="176"/>
      <c r="F109" s="202"/>
      <c r="G109" s="202">
        <f t="shared" si="46"/>
        <v>956018852</v>
      </c>
      <c r="H109" s="202"/>
      <c r="I109" s="202">
        <f t="shared" si="47"/>
        <v>973943780</v>
      </c>
      <c r="J109" s="210">
        <f t="shared" si="48"/>
        <v>17924928</v>
      </c>
      <c r="K109" s="271"/>
      <c r="L109" s="271"/>
      <c r="M109" s="271"/>
    </row>
    <row r="110" spans="2:13" ht="33" customHeight="1">
      <c r="B110" s="277"/>
      <c r="C110" s="277"/>
      <c r="D110" s="176" t="s">
        <v>74</v>
      </c>
      <c r="E110" s="176"/>
      <c r="F110" s="202"/>
      <c r="G110" s="202">
        <f t="shared" si="46"/>
        <v>956018852</v>
      </c>
      <c r="H110" s="202"/>
      <c r="I110" s="202">
        <f t="shared" si="47"/>
        <v>936299780</v>
      </c>
      <c r="J110" s="212">
        <f t="shared" si="48"/>
        <v>-19719072</v>
      </c>
      <c r="K110" s="271"/>
      <c r="L110" s="271"/>
      <c r="M110" s="271"/>
    </row>
    <row r="111" spans="2:13" ht="33" customHeight="1">
      <c r="B111" s="277"/>
      <c r="C111" s="277"/>
      <c r="D111" s="176" t="s">
        <v>75</v>
      </c>
      <c r="E111" s="176"/>
      <c r="F111" s="202"/>
      <c r="G111" s="202">
        <f t="shared" si="46"/>
        <v>956018852</v>
      </c>
      <c r="H111" s="202"/>
      <c r="I111" s="202">
        <f t="shared" si="47"/>
        <v>1016117780</v>
      </c>
      <c r="J111" s="212">
        <f t="shared" si="48"/>
        <v>60098928</v>
      </c>
      <c r="K111" s="271"/>
      <c r="L111" s="271"/>
      <c r="M111" s="271"/>
    </row>
    <row r="112" spans="2:13" ht="33" customHeight="1">
      <c r="B112" s="277"/>
      <c r="C112" s="277"/>
      <c r="D112" s="176" t="s">
        <v>76</v>
      </c>
      <c r="E112" s="176"/>
      <c r="F112" s="202"/>
      <c r="G112" s="202">
        <f t="shared" si="46"/>
        <v>956018852</v>
      </c>
      <c r="H112" s="202"/>
      <c r="I112" s="202">
        <f t="shared" si="47"/>
        <v>972725780</v>
      </c>
      <c r="J112" s="210">
        <f t="shared" si="48"/>
        <v>16706928</v>
      </c>
      <c r="K112" s="271"/>
      <c r="L112" s="271"/>
      <c r="M112" s="271"/>
    </row>
    <row r="113" spans="2:13" ht="32.1" customHeight="1">
      <c r="B113" s="276"/>
      <c r="C113" s="276" t="s">
        <v>86</v>
      </c>
      <c r="D113" s="176" t="s">
        <v>61</v>
      </c>
      <c r="E113" s="131">
        <v>6</v>
      </c>
      <c r="F113" s="202">
        <f>G113/E113</f>
        <v>46126944.666666664</v>
      </c>
      <c r="G113" s="202">
        <f>'11 seats (Hiace)'!K15</f>
        <v>276761668</v>
      </c>
      <c r="H113" s="202">
        <f>I113/E113</f>
        <v>45594701.111111112</v>
      </c>
      <c r="I113" s="202">
        <f>'11 seats (Hiace)'!K30</f>
        <v>273568206.66666669</v>
      </c>
      <c r="J113" s="212">
        <f t="shared" si="48"/>
        <v>-3193461.3333333135</v>
      </c>
      <c r="K113" s="270" t="s">
        <v>28</v>
      </c>
      <c r="L113" s="271"/>
      <c r="M113" s="271"/>
    </row>
    <row r="114" spans="2:13" ht="30" customHeight="1">
      <c r="B114" s="277"/>
      <c r="C114" s="277"/>
      <c r="D114" s="176" t="s">
        <v>63</v>
      </c>
      <c r="E114" s="131">
        <v>2</v>
      </c>
      <c r="F114" s="202">
        <f>G114/E114</f>
        <v>53486241.333333328</v>
      </c>
      <c r="G114" s="202">
        <f>'11 seats (Hiace)'!W15</f>
        <v>106972482.66666666</v>
      </c>
      <c r="H114" s="202">
        <f>I114/E114</f>
        <v>52994303.333333328</v>
      </c>
      <c r="I114" s="202">
        <f>'11 seats (Hiace)'!K45</f>
        <v>105988606.66666666</v>
      </c>
      <c r="J114" s="212">
        <f t="shared" si="48"/>
        <v>-983876</v>
      </c>
      <c r="K114" s="271"/>
      <c r="L114" s="271"/>
      <c r="M114" s="271"/>
    </row>
    <row r="115" spans="2:13" ht="33" customHeight="1">
      <c r="B115" s="277"/>
      <c r="C115" s="277"/>
      <c r="D115" s="162" t="s">
        <v>87</v>
      </c>
      <c r="E115" s="176" t="s">
        <v>127</v>
      </c>
      <c r="F115" s="218"/>
      <c r="G115" s="218"/>
      <c r="H115" s="202">
        <v>55697000</v>
      </c>
      <c r="I115" s="202">
        <f t="shared" ref="I115:I118" si="49">H115*$E$115</f>
        <v>222788000</v>
      </c>
      <c r="J115" s="219"/>
      <c r="K115" s="271"/>
      <c r="L115" s="271"/>
      <c r="M115" s="271"/>
    </row>
    <row r="116" spans="2:13" ht="33" customHeight="1">
      <c r="B116" s="277"/>
      <c r="C116" s="277"/>
      <c r="D116" s="162" t="s">
        <v>88</v>
      </c>
      <c r="E116" s="176" t="s">
        <v>127</v>
      </c>
      <c r="F116" s="218"/>
      <c r="G116" s="218"/>
      <c r="H116" s="202">
        <v>51602000</v>
      </c>
      <c r="I116" s="202">
        <f t="shared" si="49"/>
        <v>206408000</v>
      </c>
      <c r="J116" s="219"/>
      <c r="K116" s="271"/>
      <c r="L116" s="271"/>
      <c r="M116" s="271"/>
    </row>
    <row r="117" spans="2:13" ht="33" customHeight="1">
      <c r="B117" s="277"/>
      <c r="C117" s="277"/>
      <c r="D117" s="162" t="s">
        <v>89</v>
      </c>
      <c r="E117" s="176" t="s">
        <v>127</v>
      </c>
      <c r="F117" s="218"/>
      <c r="G117" s="218"/>
      <c r="H117" s="202">
        <v>48668000</v>
      </c>
      <c r="I117" s="202">
        <f t="shared" si="49"/>
        <v>194672000</v>
      </c>
      <c r="J117" s="219"/>
      <c r="K117" s="271"/>
      <c r="L117" s="271"/>
      <c r="M117" s="271"/>
    </row>
    <row r="118" spans="2:13" ht="33" customHeight="1">
      <c r="B118" s="277"/>
      <c r="C118" s="277"/>
      <c r="D118" s="162" t="s">
        <v>90</v>
      </c>
      <c r="E118" s="176" t="s">
        <v>127</v>
      </c>
      <c r="F118" s="218"/>
      <c r="G118" s="218"/>
      <c r="H118" s="202">
        <v>45531000</v>
      </c>
      <c r="I118" s="202">
        <f t="shared" si="49"/>
        <v>182124000</v>
      </c>
      <c r="J118" s="219"/>
      <c r="K118" s="271"/>
      <c r="L118" s="271"/>
      <c r="M118" s="271"/>
    </row>
    <row r="119" spans="2:13" ht="33" customHeight="1">
      <c r="B119" s="277"/>
      <c r="C119" s="277"/>
      <c r="D119" s="162" t="s">
        <v>91</v>
      </c>
      <c r="E119" s="176" t="s">
        <v>128</v>
      </c>
      <c r="F119" s="218"/>
      <c r="G119" s="218"/>
      <c r="H119" s="202">
        <f>I119/E115</f>
        <v>52182500</v>
      </c>
      <c r="I119" s="202">
        <f>H115*2+H117*2</f>
        <v>208730000</v>
      </c>
      <c r="J119" s="219"/>
      <c r="K119" s="271"/>
      <c r="L119" s="271"/>
      <c r="M119" s="271"/>
    </row>
    <row r="120" spans="2:13" ht="33" customHeight="1">
      <c r="B120" s="277"/>
      <c r="C120" s="277"/>
      <c r="D120" s="162" t="s">
        <v>93</v>
      </c>
      <c r="E120" s="176" t="s">
        <v>128</v>
      </c>
      <c r="F120" s="218"/>
      <c r="G120" s="218"/>
      <c r="H120" s="202">
        <f>I120/4</f>
        <v>48566500</v>
      </c>
      <c r="I120" s="202">
        <f>H116*2+H118*2</f>
        <v>194266000</v>
      </c>
      <c r="J120" s="219"/>
      <c r="K120" s="271"/>
      <c r="L120" s="271"/>
      <c r="M120" s="271"/>
    </row>
    <row r="121" spans="2:13" ht="33" customHeight="1">
      <c r="B121" s="277"/>
      <c r="C121" s="277"/>
      <c r="D121" s="176" t="s">
        <v>71</v>
      </c>
      <c r="E121" s="176"/>
      <c r="F121" s="202"/>
      <c r="G121" s="202">
        <f t="shared" ref="G121:G126" si="50">$G$113</f>
        <v>276761668</v>
      </c>
      <c r="H121" s="202"/>
      <c r="I121" s="202">
        <f t="shared" ref="I121:I126" si="51">$I$114+I115</f>
        <v>328776606.66666663</v>
      </c>
      <c r="J121" s="212">
        <f t="shared" ref="J121:J129" si="52">+I121-G121</f>
        <v>52014938.666666627</v>
      </c>
      <c r="K121" s="271"/>
      <c r="L121" s="271"/>
      <c r="M121" s="271"/>
    </row>
    <row r="122" spans="2:13" ht="33" customHeight="1">
      <c r="B122" s="277"/>
      <c r="C122" s="277"/>
      <c r="D122" s="176" t="s">
        <v>72</v>
      </c>
      <c r="E122" s="176"/>
      <c r="F122" s="202"/>
      <c r="G122" s="202">
        <f t="shared" si="50"/>
        <v>276761668</v>
      </c>
      <c r="H122" s="202"/>
      <c r="I122" s="202">
        <f t="shared" si="51"/>
        <v>312396606.66666663</v>
      </c>
      <c r="J122" s="212">
        <f t="shared" si="52"/>
        <v>35634938.666666627</v>
      </c>
      <c r="K122" s="271"/>
      <c r="L122" s="271"/>
      <c r="M122" s="271"/>
    </row>
    <row r="123" spans="2:13" ht="33" customHeight="1">
      <c r="B123" s="277"/>
      <c r="C123" s="277"/>
      <c r="D123" s="176" t="s">
        <v>73</v>
      </c>
      <c r="E123" s="176"/>
      <c r="F123" s="202"/>
      <c r="G123" s="202">
        <f t="shared" si="50"/>
        <v>276761668</v>
      </c>
      <c r="H123" s="202"/>
      <c r="I123" s="202">
        <f t="shared" si="51"/>
        <v>300660606.66666663</v>
      </c>
      <c r="J123" s="210">
        <f t="shared" si="52"/>
        <v>23898938.666666627</v>
      </c>
      <c r="K123" s="271"/>
      <c r="L123" s="271"/>
      <c r="M123" s="271"/>
    </row>
    <row r="124" spans="2:13" ht="33" customHeight="1">
      <c r="B124" s="277"/>
      <c r="C124" s="277"/>
      <c r="D124" s="176" t="s">
        <v>74</v>
      </c>
      <c r="E124" s="176"/>
      <c r="F124" s="202"/>
      <c r="G124" s="202">
        <f t="shared" si="50"/>
        <v>276761668</v>
      </c>
      <c r="H124" s="202"/>
      <c r="I124" s="202">
        <f t="shared" si="51"/>
        <v>288112606.66666663</v>
      </c>
      <c r="J124" s="212">
        <f t="shared" si="52"/>
        <v>11350938.666666627</v>
      </c>
      <c r="K124" s="271"/>
      <c r="L124" s="271"/>
      <c r="M124" s="271"/>
    </row>
    <row r="125" spans="2:13" ht="33" customHeight="1">
      <c r="B125" s="277"/>
      <c r="C125" s="277"/>
      <c r="D125" s="176" t="s">
        <v>75</v>
      </c>
      <c r="E125" s="176"/>
      <c r="F125" s="202"/>
      <c r="G125" s="202">
        <f t="shared" si="50"/>
        <v>276761668</v>
      </c>
      <c r="H125" s="202"/>
      <c r="I125" s="202">
        <f t="shared" si="51"/>
        <v>314718606.66666663</v>
      </c>
      <c r="J125" s="212">
        <f t="shared" si="52"/>
        <v>37956938.666666627</v>
      </c>
      <c r="K125" s="271"/>
      <c r="L125" s="271"/>
      <c r="M125" s="271"/>
    </row>
    <row r="126" spans="2:13" ht="33" customHeight="1">
      <c r="B126" s="277"/>
      <c r="C126" s="277"/>
      <c r="D126" s="176" t="s">
        <v>76</v>
      </c>
      <c r="E126" s="176"/>
      <c r="F126" s="202"/>
      <c r="G126" s="202">
        <f t="shared" si="50"/>
        <v>276761668</v>
      </c>
      <c r="H126" s="202"/>
      <c r="I126" s="202">
        <f t="shared" si="51"/>
        <v>300254606.66666663</v>
      </c>
      <c r="J126" s="210">
        <f t="shared" si="52"/>
        <v>23492938.666666627</v>
      </c>
      <c r="K126" s="271"/>
      <c r="L126" s="271"/>
      <c r="M126" s="271"/>
    </row>
    <row r="127" spans="2:13" ht="33" customHeight="1">
      <c r="B127" s="277"/>
      <c r="C127" s="276" t="s">
        <v>94</v>
      </c>
      <c r="D127" s="176" t="s">
        <v>10</v>
      </c>
      <c r="E127" s="131">
        <v>2</v>
      </c>
      <c r="F127" s="202">
        <f>G127/E127</f>
        <v>42076167</v>
      </c>
      <c r="G127" s="202">
        <f>'11 seats (Hiace)'!E89</f>
        <v>84152334</v>
      </c>
      <c r="H127" s="202">
        <f>I127/E127</f>
        <v>41360200</v>
      </c>
      <c r="I127" s="202">
        <f>'11 seats (Hiace)'!E133</f>
        <v>82720400</v>
      </c>
      <c r="J127" s="212">
        <f t="shared" si="52"/>
        <v>-1431934</v>
      </c>
      <c r="K127" s="271"/>
      <c r="L127" s="271"/>
      <c r="M127" s="271"/>
    </row>
    <row r="128" spans="2:13" ht="33" customHeight="1">
      <c r="B128" s="277"/>
      <c r="C128" s="277"/>
      <c r="D128" s="176" t="s">
        <v>15</v>
      </c>
      <c r="E128" s="131">
        <v>1</v>
      </c>
      <c r="F128" s="202">
        <f>'11 seats (Hiace)'!H89</f>
        <v>65468368</v>
      </c>
      <c r="G128" s="202">
        <f>+F128*E128</f>
        <v>65468368</v>
      </c>
      <c r="H128" s="202">
        <f>'11 seats (Hiace)'!N133</f>
        <v>53725600</v>
      </c>
      <c r="I128" s="202">
        <f>+H128*E128</f>
        <v>53725600</v>
      </c>
      <c r="J128" s="212">
        <f t="shared" si="52"/>
        <v>-11742768</v>
      </c>
      <c r="K128" s="271"/>
      <c r="L128" s="271"/>
      <c r="M128" s="271"/>
    </row>
    <row r="129" spans="2:15" ht="33" customHeight="1">
      <c r="B129" s="277"/>
      <c r="C129" s="278"/>
      <c r="D129" s="176" t="s">
        <v>17</v>
      </c>
      <c r="E129" s="131">
        <v>1</v>
      </c>
      <c r="F129" s="202">
        <f>'11 seats (Hiace)'!K89</f>
        <v>65021968</v>
      </c>
      <c r="G129" s="202">
        <f>+F129*E129</f>
        <v>65021968</v>
      </c>
      <c r="H129" s="202">
        <f>'11 seats (Hiace)'!Q133</f>
        <v>54874000</v>
      </c>
      <c r="I129" s="202">
        <f>+H129*E129</f>
        <v>54874000</v>
      </c>
      <c r="J129" s="212">
        <f t="shared" si="52"/>
        <v>-10147968</v>
      </c>
      <c r="K129" s="271"/>
      <c r="L129" s="271"/>
      <c r="M129" s="271"/>
    </row>
    <row r="130" spans="2:15" ht="33" customHeight="1">
      <c r="B130" s="278"/>
      <c r="C130" s="162"/>
      <c r="D130" s="194" t="s">
        <v>48</v>
      </c>
      <c r="E130" s="178">
        <f t="shared" ref="E130:J130" si="53">SUM(E87:E129)</f>
        <v>118</v>
      </c>
      <c r="F130" s="214">
        <f t="shared" si="53"/>
        <v>381706627.25563908</v>
      </c>
      <c r="G130" s="214">
        <f t="shared" si="53"/>
        <v>14116628873.452379</v>
      </c>
      <c r="H130" s="214">
        <f t="shared" si="53"/>
        <v>1240705908.805347</v>
      </c>
      <c r="I130" s="214">
        <f t="shared" si="53"/>
        <v>21781258560.119057</v>
      </c>
      <c r="J130" s="217">
        <f t="shared" si="53"/>
        <v>548653686.66666639</v>
      </c>
      <c r="K130" s="273"/>
      <c r="L130" s="273"/>
      <c r="M130" s="273"/>
      <c r="O130" s="21"/>
    </row>
    <row r="133" spans="2:15" ht="23.1" customHeight="1">
      <c r="B133" s="302" t="s">
        <v>22</v>
      </c>
      <c r="C133" s="303"/>
      <c r="D133" s="229" t="s">
        <v>129</v>
      </c>
      <c r="E133" s="201" t="s">
        <v>97</v>
      </c>
      <c r="F133" s="201" t="s">
        <v>98</v>
      </c>
      <c r="G133" s="201" t="s">
        <v>99</v>
      </c>
      <c r="H133" s="229" t="s">
        <v>100</v>
      </c>
      <c r="I133" s="201" t="s">
        <v>101</v>
      </c>
      <c r="J133" s="229" t="s">
        <v>102</v>
      </c>
      <c r="K133" s="201" t="s">
        <v>103</v>
      </c>
    </row>
    <row r="134" spans="2:15" ht="57.95" customHeight="1">
      <c r="B134" s="304"/>
      <c r="C134" s="305"/>
      <c r="D134" s="229" t="s">
        <v>113</v>
      </c>
      <c r="E134" s="222" t="s">
        <v>130</v>
      </c>
      <c r="F134" s="222" t="s">
        <v>131</v>
      </c>
      <c r="G134" s="222" t="s">
        <v>132</v>
      </c>
      <c r="H134" s="223" t="s">
        <v>133</v>
      </c>
      <c r="I134" s="222" t="s">
        <v>114</v>
      </c>
      <c r="J134" s="223" t="s">
        <v>115</v>
      </c>
      <c r="K134" s="222" t="s">
        <v>134</v>
      </c>
    </row>
    <row r="135" spans="2:15" s="161" customFormat="1" ht="23.1" customHeight="1">
      <c r="B135" s="283" t="s">
        <v>10</v>
      </c>
      <c r="C135" s="224" t="s">
        <v>3</v>
      </c>
      <c r="D135" s="225">
        <f>$G$52+$G$53+$G$61+$G$85+$G$127</f>
        <v>1345458283.4642859</v>
      </c>
      <c r="E135" s="225">
        <f t="shared" ref="E135:K135" si="54">$D$135</f>
        <v>1345458283.4642859</v>
      </c>
      <c r="F135" s="225">
        <f t="shared" si="54"/>
        <v>1345458283.4642859</v>
      </c>
      <c r="G135" s="225">
        <f t="shared" si="54"/>
        <v>1345458283.4642859</v>
      </c>
      <c r="H135" s="225">
        <f t="shared" si="54"/>
        <v>1345458283.4642859</v>
      </c>
      <c r="I135" s="225">
        <f t="shared" si="54"/>
        <v>1345458283.4642859</v>
      </c>
      <c r="J135" s="225">
        <f t="shared" si="54"/>
        <v>1345458283.4642859</v>
      </c>
      <c r="K135" s="231">
        <f t="shared" si="54"/>
        <v>1345458283.4642859</v>
      </c>
    </row>
    <row r="136" spans="2:15" s="161" customFormat="1" ht="23.1" customHeight="1">
      <c r="B136" s="283"/>
      <c r="C136" s="226" t="s">
        <v>42</v>
      </c>
      <c r="D136" s="225">
        <f>$I$52+$I$53+$I$61+$I$85+$I$127</f>
        <v>1304533314.4642859</v>
      </c>
      <c r="E136" s="225">
        <f>$I$52+$I$53+$I$61+$I93+$I$127</f>
        <v>1431372514.4642859</v>
      </c>
      <c r="F136" s="225">
        <f>$I$52+$I$53+$I$61+I94+$I$127</f>
        <v>1398612514.4642859</v>
      </c>
      <c r="G136" s="225">
        <f>$I$52+$I$53+$I$61+I95+$I$127</f>
        <v>1375140514.4642859</v>
      </c>
      <c r="H136" s="225">
        <f>$I$52+$I$53+$I$61+I96+$I$127</f>
        <v>1350044514.4642859</v>
      </c>
      <c r="I136" s="225">
        <f>$I$52+$I$53+$I$61+I97+$I$127</f>
        <v>1403256514.4642859</v>
      </c>
      <c r="J136" s="225">
        <f>$I$52+$I$53+$I$61+I98+$I$127</f>
        <v>1374328514.4642859</v>
      </c>
      <c r="K136" s="231">
        <f>D136</f>
        <v>1304533314.4642859</v>
      </c>
    </row>
    <row r="137" spans="2:15" s="161" customFormat="1" ht="23.1" customHeight="1">
      <c r="B137" s="283"/>
      <c r="C137" s="227" t="s">
        <v>43</v>
      </c>
      <c r="D137" s="228">
        <f t="shared" ref="D137:K137" si="55">D136-D135</f>
        <v>-40924969</v>
      </c>
      <c r="E137" s="228">
        <f t="shared" si="55"/>
        <v>85914231</v>
      </c>
      <c r="F137" s="228">
        <f t="shared" si="55"/>
        <v>53154231</v>
      </c>
      <c r="G137" s="228">
        <f t="shared" si="55"/>
        <v>29682231</v>
      </c>
      <c r="H137" s="228">
        <f t="shared" si="55"/>
        <v>4586231</v>
      </c>
      <c r="I137" s="228">
        <f t="shared" si="55"/>
        <v>57798231</v>
      </c>
      <c r="J137" s="228">
        <f t="shared" si="55"/>
        <v>28870231</v>
      </c>
      <c r="K137" s="232">
        <f t="shared" si="55"/>
        <v>-40924969</v>
      </c>
    </row>
    <row r="138" spans="2:15" s="161" customFormat="1" ht="23.1" customHeight="1">
      <c r="B138" s="284"/>
      <c r="C138" s="226" t="s">
        <v>8</v>
      </c>
      <c r="D138" s="226"/>
      <c r="E138" s="226"/>
      <c r="F138" s="226"/>
      <c r="G138" s="226"/>
      <c r="H138" s="226"/>
      <c r="I138" s="226"/>
      <c r="J138" s="226"/>
      <c r="K138" s="234"/>
    </row>
    <row r="139" spans="2:15" s="161" customFormat="1" ht="23.1" customHeight="1">
      <c r="B139" s="282" t="s">
        <v>15</v>
      </c>
      <c r="C139" s="226" t="s">
        <v>3</v>
      </c>
      <c r="D139" s="225">
        <f>$G$58+$G$62+$G$65+$G$99+$G$128</f>
        <v>1335895977</v>
      </c>
      <c r="E139" s="225">
        <f t="shared" ref="E139:K139" si="56">$D$139</f>
        <v>1335895977</v>
      </c>
      <c r="F139" s="225">
        <f t="shared" si="56"/>
        <v>1335895977</v>
      </c>
      <c r="G139" s="225">
        <f t="shared" si="56"/>
        <v>1335895977</v>
      </c>
      <c r="H139" s="225">
        <f t="shared" si="56"/>
        <v>1335895977</v>
      </c>
      <c r="I139" s="225">
        <f t="shared" si="56"/>
        <v>1335895977</v>
      </c>
      <c r="J139" s="225">
        <f t="shared" si="56"/>
        <v>1335895977</v>
      </c>
      <c r="K139" s="231">
        <f t="shared" si="56"/>
        <v>1335895977</v>
      </c>
    </row>
    <row r="140" spans="2:15" s="161" customFormat="1" ht="23.1" customHeight="1">
      <c r="B140" s="283"/>
      <c r="C140" s="226" t="s">
        <v>42</v>
      </c>
      <c r="D140" s="225">
        <f>$I$54+$I$62+$I$65+I99+$I$128</f>
        <v>1287139740</v>
      </c>
      <c r="E140" s="225">
        <f>$I$54+$I$62+$I$65+I107+$I$128</f>
        <v>1453264940</v>
      </c>
      <c r="F140" s="225">
        <f>$I$54+$I$62+$I$65+I108+$I$128</f>
        <v>1404124940</v>
      </c>
      <c r="G140" s="225">
        <f>$I$54+$I$62+$I$65+I109+$I$128</f>
        <v>1368916940</v>
      </c>
      <c r="H140" s="225">
        <f>$I$54+$I$62+$I$65+I110+$I$128</f>
        <v>1331272940</v>
      </c>
      <c r="I140" s="225">
        <f>$I$54+$I$62+$I$65+I111+$I$128</f>
        <v>1411090940</v>
      </c>
      <c r="J140" s="225">
        <f>$I$54+$I$62+$I$65+I112+$I$128</f>
        <v>1367698940</v>
      </c>
      <c r="K140" s="231">
        <f>'Total (2)'!J168</f>
        <v>1071999940</v>
      </c>
    </row>
    <row r="141" spans="2:15" s="161" customFormat="1" ht="23.1" customHeight="1">
      <c r="B141" s="283"/>
      <c r="C141" s="227" t="s">
        <v>43</v>
      </c>
      <c r="D141" s="228">
        <f t="shared" ref="D141:K141" si="57">D140-D139</f>
        <v>-48756237</v>
      </c>
      <c r="E141" s="228">
        <f t="shared" si="57"/>
        <v>117368963</v>
      </c>
      <c r="F141" s="228">
        <f t="shared" si="57"/>
        <v>68228963</v>
      </c>
      <c r="G141" s="228">
        <f t="shared" si="57"/>
        <v>33020963</v>
      </c>
      <c r="H141" s="228">
        <f t="shared" si="57"/>
        <v>-4623037</v>
      </c>
      <c r="I141" s="228">
        <f t="shared" si="57"/>
        <v>75194963</v>
      </c>
      <c r="J141" s="228">
        <f t="shared" si="57"/>
        <v>31802963</v>
      </c>
      <c r="K141" s="232">
        <f t="shared" si="57"/>
        <v>-263896037</v>
      </c>
    </row>
    <row r="142" spans="2:15" s="161" customFormat="1" ht="23.1" customHeight="1">
      <c r="B142" s="284"/>
      <c r="C142" s="226" t="s">
        <v>8</v>
      </c>
      <c r="D142" s="226"/>
      <c r="E142" s="226"/>
      <c r="F142" s="226"/>
      <c r="G142" s="226"/>
      <c r="H142" s="226"/>
      <c r="I142" s="226"/>
      <c r="J142" s="226"/>
      <c r="K142" s="234"/>
    </row>
    <row r="143" spans="2:15" s="161" customFormat="1" ht="23.1" customHeight="1">
      <c r="B143" s="282" t="s">
        <v>17</v>
      </c>
      <c r="C143" s="226" t="s">
        <v>3</v>
      </c>
      <c r="D143" s="225">
        <f>$G$55+$G$63+$G$64+$G$113+$G$129</f>
        <v>651761479</v>
      </c>
      <c r="E143" s="225">
        <f t="shared" ref="E143:K143" si="58">$D$143</f>
        <v>651761479</v>
      </c>
      <c r="F143" s="225">
        <f t="shared" si="58"/>
        <v>651761479</v>
      </c>
      <c r="G143" s="225">
        <f t="shared" si="58"/>
        <v>651761479</v>
      </c>
      <c r="H143" s="225">
        <f t="shared" si="58"/>
        <v>651761479</v>
      </c>
      <c r="I143" s="225">
        <f t="shared" si="58"/>
        <v>651761479</v>
      </c>
      <c r="J143" s="225">
        <f t="shared" si="58"/>
        <v>651761479</v>
      </c>
      <c r="K143" s="231">
        <f t="shared" si="58"/>
        <v>651761479</v>
      </c>
    </row>
    <row r="144" spans="2:15" s="161" customFormat="1" ht="23.1" customHeight="1">
      <c r="B144" s="283"/>
      <c r="C144" s="226" t="s">
        <v>42</v>
      </c>
      <c r="D144" s="225">
        <f>$I$55+$I$63+$I$64+I113+$I$129</f>
        <v>657469468</v>
      </c>
      <c r="E144" s="225">
        <f>$I$55+$I$63+$I$64+I121+$I$129</f>
        <v>712677868</v>
      </c>
      <c r="F144" s="225">
        <f>$I$55+$I$63+$I$64+I122+$I$129</f>
        <v>696297868</v>
      </c>
      <c r="G144" s="225">
        <f>$I$55+$I$63+$I$64+I123+$I$129</f>
        <v>684561868</v>
      </c>
      <c r="H144" s="225">
        <f>$I$55+$I$63+$I$64+I124+$I$129</f>
        <v>672013868</v>
      </c>
      <c r="I144" s="225">
        <f>$I$55+$I$63+$I$64+I125+$I$129</f>
        <v>698619868</v>
      </c>
      <c r="J144" s="225">
        <f>$I$55+$I$63+$I$64+I126+$I$129</f>
        <v>684155868</v>
      </c>
      <c r="K144" s="231">
        <f>'Total (2)'!J171</f>
        <v>631283868</v>
      </c>
    </row>
    <row r="145" spans="2:11" s="161" customFormat="1" ht="23.1" customHeight="1">
      <c r="B145" s="283"/>
      <c r="C145" s="227" t="s">
        <v>43</v>
      </c>
      <c r="D145" s="228">
        <f t="shared" ref="D145:K145" si="59">D144-D143</f>
        <v>5707989</v>
      </c>
      <c r="E145" s="228">
        <f t="shared" si="59"/>
        <v>60916389</v>
      </c>
      <c r="F145" s="228">
        <f t="shared" si="59"/>
        <v>44536389</v>
      </c>
      <c r="G145" s="228">
        <f t="shared" si="59"/>
        <v>32800389</v>
      </c>
      <c r="H145" s="228">
        <f t="shared" si="59"/>
        <v>20252389</v>
      </c>
      <c r="I145" s="228">
        <f t="shared" si="59"/>
        <v>46858389</v>
      </c>
      <c r="J145" s="228">
        <f t="shared" si="59"/>
        <v>32394389</v>
      </c>
      <c r="K145" s="232">
        <f t="shared" si="59"/>
        <v>-20477611</v>
      </c>
    </row>
    <row r="146" spans="2:11" s="161" customFormat="1" ht="23.1" customHeight="1">
      <c r="B146" s="284"/>
      <c r="C146" s="226" t="s">
        <v>8</v>
      </c>
      <c r="D146" s="226"/>
      <c r="E146" s="226"/>
      <c r="F146" s="226"/>
      <c r="G146" s="226"/>
      <c r="H146" s="226"/>
      <c r="I146" s="226"/>
      <c r="J146" s="226"/>
      <c r="K146" s="234"/>
    </row>
    <row r="147" spans="2:11" s="161" customFormat="1" ht="23.1" customHeight="1">
      <c r="B147" s="282" t="s">
        <v>111</v>
      </c>
      <c r="C147" s="226" t="s">
        <v>3</v>
      </c>
      <c r="D147" s="225">
        <f>$D$135+$D$139+$D$143</f>
        <v>3333115739.4642859</v>
      </c>
      <c r="E147" s="225">
        <f t="shared" ref="E147:K147" si="60">E135+E139+E143</f>
        <v>3333115739.4642859</v>
      </c>
      <c r="F147" s="225">
        <f t="shared" si="60"/>
        <v>3333115739.4642859</v>
      </c>
      <c r="G147" s="225">
        <f t="shared" si="60"/>
        <v>3333115739.4642859</v>
      </c>
      <c r="H147" s="225">
        <f t="shared" si="60"/>
        <v>3333115739.4642859</v>
      </c>
      <c r="I147" s="225">
        <f t="shared" si="60"/>
        <v>3333115739.4642859</v>
      </c>
      <c r="J147" s="225">
        <f t="shared" si="60"/>
        <v>3333115739.4642859</v>
      </c>
      <c r="K147" s="231">
        <f t="shared" si="60"/>
        <v>3333115739.4642859</v>
      </c>
    </row>
    <row r="148" spans="2:11" s="161" customFormat="1" ht="23.1" customHeight="1">
      <c r="B148" s="283"/>
      <c r="C148" s="226" t="s">
        <v>42</v>
      </c>
      <c r="D148" s="225">
        <f>$D$136+$D$140+$D$144</f>
        <v>3249142522.4642859</v>
      </c>
      <c r="E148" s="225">
        <f t="shared" ref="E148:K148" si="61">E136+E140+E144</f>
        <v>3597315322.4642859</v>
      </c>
      <c r="F148" s="225">
        <f t="shared" si="61"/>
        <v>3499035322.4642859</v>
      </c>
      <c r="G148" s="225">
        <f t="shared" si="61"/>
        <v>3428619322.4642859</v>
      </c>
      <c r="H148" s="225">
        <f t="shared" si="61"/>
        <v>3353331322.4642859</v>
      </c>
      <c r="I148" s="225">
        <f t="shared" si="61"/>
        <v>3512967322.4642859</v>
      </c>
      <c r="J148" s="225">
        <f t="shared" si="61"/>
        <v>3426183322.4642859</v>
      </c>
      <c r="K148" s="231">
        <f t="shared" si="61"/>
        <v>3007817122.4642859</v>
      </c>
    </row>
    <row r="149" spans="2:11" s="161" customFormat="1" ht="23.1" customHeight="1">
      <c r="B149" s="283"/>
      <c r="C149" s="227" t="s">
        <v>43</v>
      </c>
      <c r="D149" s="228">
        <f t="shared" ref="D149:K149" si="62">D148-D147</f>
        <v>-83973217</v>
      </c>
      <c r="E149" s="228">
        <f t="shared" si="62"/>
        <v>264199583</v>
      </c>
      <c r="F149" s="228">
        <f t="shared" si="62"/>
        <v>165919583</v>
      </c>
      <c r="G149" s="228">
        <f t="shared" si="62"/>
        <v>95503583</v>
      </c>
      <c r="H149" s="228">
        <f t="shared" si="62"/>
        <v>20215583</v>
      </c>
      <c r="I149" s="228">
        <f t="shared" si="62"/>
        <v>179851583</v>
      </c>
      <c r="J149" s="228">
        <f t="shared" si="62"/>
        <v>93067583</v>
      </c>
      <c r="K149" s="232">
        <f t="shared" si="62"/>
        <v>-325298617</v>
      </c>
    </row>
    <row r="150" spans="2:11" s="161" customFormat="1" ht="23.1" customHeight="1">
      <c r="B150" s="284"/>
      <c r="C150" s="226" t="s">
        <v>8</v>
      </c>
      <c r="D150" s="226"/>
      <c r="E150" s="226"/>
      <c r="F150" s="226"/>
      <c r="G150" s="226"/>
      <c r="H150" s="226"/>
      <c r="I150" s="226"/>
      <c r="J150" s="226"/>
      <c r="K150" s="234"/>
    </row>
    <row r="151" spans="2:11">
      <c r="K151" s="195"/>
    </row>
    <row r="152" spans="2:11">
      <c r="D152" s="21">
        <f t="shared" ref="D152:K152" si="63">D149/23000</f>
        <v>-3651.0094347826089</v>
      </c>
      <c r="E152" s="21">
        <f t="shared" si="63"/>
        <v>11486.938391304348</v>
      </c>
      <c r="F152" s="21">
        <f t="shared" si="63"/>
        <v>7213.8949130434785</v>
      </c>
      <c r="G152" s="21">
        <f t="shared" si="63"/>
        <v>4152.3296956521735</v>
      </c>
      <c r="H152" s="21">
        <f t="shared" si="63"/>
        <v>878.93839130434787</v>
      </c>
      <c r="I152" s="21">
        <f t="shared" si="63"/>
        <v>7819.6340434782605</v>
      </c>
      <c r="J152" s="21">
        <f t="shared" si="63"/>
        <v>4046.416652173913</v>
      </c>
      <c r="K152" s="235">
        <f t="shared" si="63"/>
        <v>-14143.418130434782</v>
      </c>
    </row>
    <row r="153" spans="2:11">
      <c r="K153" s="195"/>
    </row>
    <row r="154" spans="2:11">
      <c r="K154" s="195"/>
    </row>
    <row r="155" spans="2:11" ht="23.1" customHeight="1">
      <c r="B155" s="131" t="s">
        <v>30</v>
      </c>
      <c r="C155" s="7"/>
      <c r="D155" s="201" t="s">
        <v>129</v>
      </c>
      <c r="E155" s="201" t="s">
        <v>97</v>
      </c>
      <c r="F155" s="201" t="s">
        <v>98</v>
      </c>
      <c r="G155" s="201" t="s">
        <v>99</v>
      </c>
      <c r="H155" s="201" t="s">
        <v>100</v>
      </c>
      <c r="I155" s="201" t="s">
        <v>101</v>
      </c>
      <c r="J155" s="201" t="s">
        <v>102</v>
      </c>
      <c r="K155" s="248" t="s">
        <v>103</v>
      </c>
    </row>
    <row r="156" spans="2:11" s="161" customFormat="1" ht="23.1" customHeight="1">
      <c r="B156" s="282" t="s">
        <v>10</v>
      </c>
      <c r="C156" s="226" t="s">
        <v>3</v>
      </c>
      <c r="D156" s="225">
        <f>$G$52+$G$53+$G$61+$G$85+$G$127</f>
        <v>1345458283.4642859</v>
      </c>
      <c r="E156" s="225">
        <f t="shared" ref="E156:K156" si="64">$D$135</f>
        <v>1345458283.4642859</v>
      </c>
      <c r="F156" s="225">
        <f t="shared" si="64"/>
        <v>1345458283.4642859</v>
      </c>
      <c r="G156" s="225">
        <f t="shared" si="64"/>
        <v>1345458283.4642859</v>
      </c>
      <c r="H156" s="225">
        <f t="shared" si="64"/>
        <v>1345458283.4642859</v>
      </c>
      <c r="I156" s="225">
        <f t="shared" si="64"/>
        <v>1345458283.4642859</v>
      </c>
      <c r="J156" s="225">
        <f t="shared" si="64"/>
        <v>1345458283.4642859</v>
      </c>
      <c r="K156" s="231">
        <f t="shared" si="64"/>
        <v>1345458283.4642859</v>
      </c>
    </row>
    <row r="157" spans="2:11" s="161" customFormat="1" ht="23.1" customHeight="1">
      <c r="B157" s="283"/>
      <c r="C157" s="226" t="s">
        <v>42</v>
      </c>
      <c r="D157" s="225">
        <f>$I$52+$I$53+I79+$I$85+$I$127</f>
        <v>1271252878.4642859</v>
      </c>
      <c r="E157" s="225">
        <f>$I$52+$I$53+$I$79+I93+$I$127</f>
        <v>1398092078.4642859</v>
      </c>
      <c r="F157" s="225">
        <f>$I$52+$I$53+$I$79+I94+$I$127</f>
        <v>1365332078.4642859</v>
      </c>
      <c r="G157" s="225">
        <f>$I$52+$I$53+$I$79+I95+$I$127</f>
        <v>1341860078.4642859</v>
      </c>
      <c r="H157" s="225">
        <f>$I$52+$I$53+$I$79+I96+$I$127</f>
        <v>1316764078.4642859</v>
      </c>
      <c r="I157" s="225">
        <f>$I$52+$I$53+$I$79+I97+$I$127</f>
        <v>1369976078.4642859</v>
      </c>
      <c r="J157" s="225">
        <f>$I$52+$I$53+$I$79+I98+$I$127</f>
        <v>1341048078.4642859</v>
      </c>
      <c r="K157" s="231">
        <f>D157</f>
        <v>1271252878.4642859</v>
      </c>
    </row>
    <row r="158" spans="2:11" s="161" customFormat="1" ht="23.1" customHeight="1">
      <c r="B158" s="283"/>
      <c r="C158" s="226" t="s">
        <v>43</v>
      </c>
      <c r="D158" s="225">
        <f t="shared" ref="D158:K158" si="65">D157-D156</f>
        <v>-74205405</v>
      </c>
      <c r="E158" s="225">
        <f t="shared" si="65"/>
        <v>52633795</v>
      </c>
      <c r="F158" s="225">
        <f t="shared" si="65"/>
        <v>19873795</v>
      </c>
      <c r="G158" s="225">
        <f t="shared" si="65"/>
        <v>-3598205</v>
      </c>
      <c r="H158" s="225">
        <f t="shared" si="65"/>
        <v>-28694205</v>
      </c>
      <c r="I158" s="225">
        <f t="shared" si="65"/>
        <v>24517795</v>
      </c>
      <c r="J158" s="225">
        <f t="shared" si="65"/>
        <v>-4410205</v>
      </c>
      <c r="K158" s="231">
        <f t="shared" si="65"/>
        <v>-74205405</v>
      </c>
    </row>
    <row r="159" spans="2:11" s="161" customFormat="1" ht="23.1" customHeight="1">
      <c r="B159" s="284"/>
      <c r="C159" s="226" t="s">
        <v>8</v>
      </c>
      <c r="D159" s="226"/>
      <c r="E159" s="226"/>
      <c r="F159" s="226"/>
      <c r="G159" s="226"/>
      <c r="H159" s="226"/>
      <c r="I159" s="226"/>
      <c r="J159" s="226"/>
      <c r="K159" s="234"/>
    </row>
    <row r="160" spans="2:11" s="161" customFormat="1" ht="23.1" customHeight="1">
      <c r="B160" s="282" t="s">
        <v>15</v>
      </c>
      <c r="C160" s="226" t="s">
        <v>3</v>
      </c>
      <c r="D160" s="225">
        <f>$G$58+$G$62+$G$65+$G$99+$G$128</f>
        <v>1335895977</v>
      </c>
      <c r="E160" s="225">
        <f t="shared" ref="E160:K160" si="66">$D$139</f>
        <v>1335895977</v>
      </c>
      <c r="F160" s="225">
        <f t="shared" si="66"/>
        <v>1335895977</v>
      </c>
      <c r="G160" s="225">
        <f t="shared" si="66"/>
        <v>1335895977</v>
      </c>
      <c r="H160" s="225">
        <f t="shared" si="66"/>
        <v>1335895977</v>
      </c>
      <c r="I160" s="225">
        <f t="shared" si="66"/>
        <v>1335895977</v>
      </c>
      <c r="J160" s="225">
        <f t="shared" si="66"/>
        <v>1335895977</v>
      </c>
      <c r="K160" s="231">
        <f t="shared" si="66"/>
        <v>1335895977</v>
      </c>
    </row>
    <row r="161" spans="2:11" s="161" customFormat="1" ht="23.1" customHeight="1">
      <c r="B161" s="283"/>
      <c r="C161" s="226" t="s">
        <v>42</v>
      </c>
      <c r="D161" s="225">
        <f>$I$54+$I$80+$I$83+I99+$I$128</f>
        <v>1266868531.9682541</v>
      </c>
      <c r="E161" s="225">
        <f>$I$54+$I$80+$I$83+I107+$I$128</f>
        <v>1432993731.9682541</v>
      </c>
      <c r="F161" s="225">
        <f>$I$54+$I$80+$I$83+I108+$I$128</f>
        <v>1383853731.9682541</v>
      </c>
      <c r="G161" s="225">
        <f>$I$54+$I$80+$I$83+I109+$I$128</f>
        <v>1348645731.9682541</v>
      </c>
      <c r="H161" s="225">
        <f>$I$54+$I$80+$I$83+I110+$I$128</f>
        <v>1311001731.9682541</v>
      </c>
      <c r="I161" s="225">
        <f>$I$54+$I$80+$I$83+I111+$I$128</f>
        <v>1390819731.9682541</v>
      </c>
      <c r="J161" s="225">
        <f>$I$54+$I$80+$I$83+I112+$I$128</f>
        <v>1347427731.9682541</v>
      </c>
      <c r="K161" s="231">
        <f>'Total (2)'!J185</f>
        <v>1051728731.968254</v>
      </c>
    </row>
    <row r="162" spans="2:11" s="161" customFormat="1" ht="23.1" customHeight="1">
      <c r="B162" s="283"/>
      <c r="C162" s="226" t="s">
        <v>43</v>
      </c>
      <c r="D162" s="225">
        <f t="shared" ref="D162:K162" si="67">D161-D160</f>
        <v>-69027445.031745911</v>
      </c>
      <c r="E162" s="225">
        <f t="shared" si="67"/>
        <v>97097754.968254089</v>
      </c>
      <c r="F162" s="225">
        <f t="shared" si="67"/>
        <v>47957754.968254089</v>
      </c>
      <c r="G162" s="225">
        <f t="shared" si="67"/>
        <v>12749754.968254089</v>
      </c>
      <c r="H162" s="225">
        <f t="shared" si="67"/>
        <v>-24894245.031745911</v>
      </c>
      <c r="I162" s="225">
        <f t="shared" si="67"/>
        <v>54923754.968254089</v>
      </c>
      <c r="J162" s="225">
        <f t="shared" si="67"/>
        <v>11531754.968254089</v>
      </c>
      <c r="K162" s="231">
        <f t="shared" si="67"/>
        <v>-284167245.03174603</v>
      </c>
    </row>
    <row r="163" spans="2:11" s="161" customFormat="1" ht="23.1" customHeight="1">
      <c r="B163" s="284"/>
      <c r="C163" s="226" t="s">
        <v>8</v>
      </c>
      <c r="D163" s="226"/>
      <c r="E163" s="226"/>
      <c r="F163" s="226"/>
      <c r="G163" s="226"/>
      <c r="H163" s="226"/>
      <c r="I163" s="226"/>
      <c r="J163" s="226"/>
      <c r="K163" s="234"/>
    </row>
    <row r="164" spans="2:11" s="161" customFormat="1" ht="23.1" customHeight="1">
      <c r="B164" s="282" t="s">
        <v>17</v>
      </c>
      <c r="C164" s="226" t="s">
        <v>3</v>
      </c>
      <c r="D164" s="225">
        <f>$G$55+$G$63+$G$64+$G$113+$G$129</f>
        <v>651761479</v>
      </c>
      <c r="E164" s="225">
        <f t="shared" ref="E164:K164" si="68">$D$143</f>
        <v>651761479</v>
      </c>
      <c r="F164" s="225">
        <f t="shared" si="68"/>
        <v>651761479</v>
      </c>
      <c r="G164" s="225">
        <f t="shared" si="68"/>
        <v>651761479</v>
      </c>
      <c r="H164" s="225">
        <f t="shared" si="68"/>
        <v>651761479</v>
      </c>
      <c r="I164" s="225">
        <f t="shared" si="68"/>
        <v>651761479</v>
      </c>
      <c r="J164" s="225">
        <f t="shared" si="68"/>
        <v>651761479</v>
      </c>
      <c r="K164" s="231">
        <f t="shared" si="68"/>
        <v>651761479</v>
      </c>
    </row>
    <row r="165" spans="2:11" s="161" customFormat="1" ht="23.1" customHeight="1">
      <c r="B165" s="283"/>
      <c r="C165" s="226" t="s">
        <v>42</v>
      </c>
      <c r="D165" s="225">
        <f>$I$55+$I$81+$I$82+I113+$I$129</f>
        <v>638349718.66666675</v>
      </c>
      <c r="E165" s="225">
        <f>$I$55+$I$81+$I$82+I121+$I$129</f>
        <v>693558118.66666663</v>
      </c>
      <c r="F165" s="225">
        <f>$I$55+$I$81+$I$82+I122+$I$129</f>
        <v>677178118.66666663</v>
      </c>
      <c r="G165" s="225">
        <f>$I$55+$I$81+$I$82+I123+$I$129</f>
        <v>665442118.66666663</v>
      </c>
      <c r="H165" s="225">
        <f>$I$55+$I$81+$I$82+I124+$I$129</f>
        <v>652894118.66666663</v>
      </c>
      <c r="I165" s="225">
        <f>$I$55+$I$81+$I$82+I125+$I$129</f>
        <v>679500118.66666663</v>
      </c>
      <c r="J165" s="225">
        <f>$I$55+$I$81+$I$82+I126+$I$129</f>
        <v>665036118.66666663</v>
      </c>
      <c r="K165" s="231">
        <f>'Total (2)'!J188</f>
        <v>612164118.66666663</v>
      </c>
    </row>
    <row r="166" spans="2:11" s="161" customFormat="1" ht="23.1" customHeight="1">
      <c r="B166" s="283"/>
      <c r="C166" s="226" t="s">
        <v>43</v>
      </c>
      <c r="D166" s="225">
        <f t="shared" ref="D166:K166" si="69">D165-D164</f>
        <v>-13411760.333333254</v>
      </c>
      <c r="E166" s="225">
        <f t="shared" si="69"/>
        <v>41796639.666666627</v>
      </c>
      <c r="F166" s="225">
        <f t="shared" si="69"/>
        <v>25416639.666666627</v>
      </c>
      <c r="G166" s="225">
        <f t="shared" si="69"/>
        <v>13680639.666666627</v>
      </c>
      <c r="H166" s="225">
        <f t="shared" si="69"/>
        <v>1132639.6666666269</v>
      </c>
      <c r="I166" s="225">
        <f t="shared" si="69"/>
        <v>27738639.666666627</v>
      </c>
      <c r="J166" s="225">
        <f t="shared" si="69"/>
        <v>13274639.666666627</v>
      </c>
      <c r="K166" s="231">
        <f t="shared" si="69"/>
        <v>-39597360.333333373</v>
      </c>
    </row>
    <row r="167" spans="2:11" s="161" customFormat="1" ht="23.1" customHeight="1">
      <c r="B167" s="284"/>
      <c r="C167" s="226" t="s">
        <v>8</v>
      </c>
      <c r="D167" s="226"/>
      <c r="E167" s="226"/>
      <c r="F167" s="226"/>
      <c r="G167" s="226"/>
      <c r="H167" s="226"/>
      <c r="I167" s="226"/>
      <c r="J167" s="226"/>
      <c r="K167" s="234"/>
    </row>
    <row r="168" spans="2:11" s="161" customFormat="1" ht="23.1" customHeight="1">
      <c r="B168" s="282" t="s">
        <v>111</v>
      </c>
      <c r="C168" s="226" t="s">
        <v>3</v>
      </c>
      <c r="D168" s="225">
        <f>$D$135+$D$139+$D$143</f>
        <v>3333115739.4642859</v>
      </c>
      <c r="E168" s="225">
        <f t="shared" ref="E168:K168" si="70">E156+E160+E164</f>
        <v>3333115739.4642859</v>
      </c>
      <c r="F168" s="225">
        <f t="shared" si="70"/>
        <v>3333115739.4642859</v>
      </c>
      <c r="G168" s="225">
        <f t="shared" si="70"/>
        <v>3333115739.4642859</v>
      </c>
      <c r="H168" s="225">
        <f t="shared" si="70"/>
        <v>3333115739.4642859</v>
      </c>
      <c r="I168" s="225">
        <f t="shared" si="70"/>
        <v>3333115739.4642859</v>
      </c>
      <c r="J168" s="225">
        <f t="shared" si="70"/>
        <v>3333115739.4642859</v>
      </c>
      <c r="K168" s="231">
        <f t="shared" si="70"/>
        <v>3333115739.4642859</v>
      </c>
    </row>
    <row r="169" spans="2:11" s="161" customFormat="1" ht="23.1" customHeight="1">
      <c r="B169" s="283"/>
      <c r="C169" s="226" t="s">
        <v>42</v>
      </c>
      <c r="D169" s="225">
        <f t="shared" ref="D169:K169" si="71">D157+D161+D165</f>
        <v>3176471129.0992069</v>
      </c>
      <c r="E169" s="225">
        <f t="shared" si="71"/>
        <v>3524643929.0992064</v>
      </c>
      <c r="F169" s="225">
        <f t="shared" si="71"/>
        <v>3426363929.0992064</v>
      </c>
      <c r="G169" s="225">
        <f t="shared" si="71"/>
        <v>3355947929.0992064</v>
      </c>
      <c r="H169" s="225">
        <f t="shared" si="71"/>
        <v>3280659929.0992064</v>
      </c>
      <c r="I169" s="225">
        <f t="shared" si="71"/>
        <v>3440295929.0992064</v>
      </c>
      <c r="J169" s="225">
        <f t="shared" si="71"/>
        <v>3353511929.0992064</v>
      </c>
      <c r="K169" s="231">
        <f t="shared" si="71"/>
        <v>2935145729.0992064</v>
      </c>
    </row>
    <row r="170" spans="2:11" s="161" customFormat="1" ht="23.1" customHeight="1">
      <c r="B170" s="283"/>
      <c r="C170" s="226" t="s">
        <v>43</v>
      </c>
      <c r="D170" s="225">
        <f t="shared" ref="D170:K170" si="72">D169-D168</f>
        <v>-156644610.36507893</v>
      </c>
      <c r="E170" s="225">
        <f t="shared" si="72"/>
        <v>191528189.6349206</v>
      </c>
      <c r="F170" s="225">
        <f t="shared" si="72"/>
        <v>93248189.634920597</v>
      </c>
      <c r="G170" s="225">
        <f t="shared" si="72"/>
        <v>22832189.634920597</v>
      </c>
      <c r="H170" s="225">
        <f t="shared" si="72"/>
        <v>-52455810.365079403</v>
      </c>
      <c r="I170" s="225">
        <f t="shared" si="72"/>
        <v>107180189.6349206</v>
      </c>
      <c r="J170" s="225">
        <f t="shared" si="72"/>
        <v>20396189.634920597</v>
      </c>
      <c r="K170" s="231">
        <f t="shared" si="72"/>
        <v>-397970010.3650794</v>
      </c>
    </row>
    <row r="171" spans="2:11" s="161" customFormat="1" ht="23.1" customHeight="1">
      <c r="B171" s="284"/>
      <c r="C171" s="226" t="s">
        <v>8</v>
      </c>
      <c r="D171" s="226"/>
      <c r="E171" s="226"/>
      <c r="F171" s="226"/>
      <c r="G171" s="226"/>
      <c r="H171" s="226"/>
      <c r="I171" s="226"/>
      <c r="J171" s="226"/>
      <c r="K171" s="234"/>
    </row>
    <row r="173" spans="2:11">
      <c r="D173" s="21">
        <f t="shared" ref="D173:K173" si="73">D170/23000</f>
        <v>-6810.635233264301</v>
      </c>
      <c r="E173" s="21">
        <f t="shared" si="73"/>
        <v>8327.3125928226345</v>
      </c>
      <c r="F173" s="21">
        <f t="shared" si="73"/>
        <v>4054.269114561765</v>
      </c>
      <c r="G173" s="21">
        <f t="shared" si="73"/>
        <v>992.70389717046078</v>
      </c>
      <c r="H173" s="21">
        <f t="shared" si="73"/>
        <v>-2280.6874071773655</v>
      </c>
      <c r="I173" s="21">
        <f t="shared" si="73"/>
        <v>4660.0082449965475</v>
      </c>
      <c r="J173" s="21">
        <f t="shared" si="73"/>
        <v>886.7908536921999</v>
      </c>
      <c r="K173" s="21">
        <f t="shared" si="73"/>
        <v>-17303.043928916497</v>
      </c>
    </row>
    <row r="179" spans="3:11">
      <c r="D179" s="201" t="s">
        <v>129</v>
      </c>
      <c r="E179" s="201" t="s">
        <v>97</v>
      </c>
      <c r="F179" s="201" t="s">
        <v>98</v>
      </c>
      <c r="G179" s="201" t="s">
        <v>99</v>
      </c>
      <c r="H179" s="201" t="s">
        <v>100</v>
      </c>
      <c r="I179" s="201" t="s">
        <v>101</v>
      </c>
      <c r="J179" s="201" t="s">
        <v>102</v>
      </c>
      <c r="K179" s="201" t="s">
        <v>103</v>
      </c>
    </row>
    <row r="180" spans="3:11">
      <c r="C180" s="252" t="s">
        <v>22</v>
      </c>
      <c r="D180" s="220">
        <f t="shared" ref="D180:J180" si="74">D149</f>
        <v>-83973217</v>
      </c>
      <c r="E180" s="220">
        <f t="shared" si="74"/>
        <v>264199583</v>
      </c>
      <c r="F180" s="220">
        <f t="shared" si="74"/>
        <v>165919583</v>
      </c>
      <c r="G180" s="220">
        <f t="shared" si="74"/>
        <v>95503583</v>
      </c>
      <c r="H180" s="220">
        <f t="shared" si="74"/>
        <v>20215583</v>
      </c>
      <c r="I180" s="220">
        <f t="shared" si="74"/>
        <v>179851583</v>
      </c>
      <c r="J180" s="220">
        <f t="shared" si="74"/>
        <v>93067583</v>
      </c>
      <c r="K180" s="7"/>
    </row>
    <row r="181" spans="3:11">
      <c r="C181" s="252" t="s">
        <v>30</v>
      </c>
      <c r="D181" s="220">
        <f t="shared" ref="D181:J181" si="75">D170</f>
        <v>-156644610.36507893</v>
      </c>
      <c r="E181" s="220">
        <f t="shared" si="75"/>
        <v>191528189.6349206</v>
      </c>
      <c r="F181" s="220">
        <f t="shared" si="75"/>
        <v>93248189.634920597</v>
      </c>
      <c r="G181" s="220">
        <f t="shared" si="75"/>
        <v>22832189.634920597</v>
      </c>
      <c r="H181" s="220">
        <f t="shared" si="75"/>
        <v>-52455810.365079403</v>
      </c>
      <c r="I181" s="220">
        <f t="shared" si="75"/>
        <v>107180189.6349206</v>
      </c>
      <c r="J181" s="220">
        <f t="shared" si="75"/>
        <v>20396189.634920597</v>
      </c>
      <c r="K181" s="7"/>
    </row>
    <row r="182" spans="3:11">
      <c r="C182" s="7" t="s">
        <v>43</v>
      </c>
      <c r="D182" s="18">
        <f t="shared" ref="D182:J182" si="76">D181-D180</f>
        <v>-72671393.365078926</v>
      </c>
      <c r="E182" s="18">
        <f t="shared" si="76"/>
        <v>-72671393.365079403</v>
      </c>
      <c r="F182" s="18">
        <f t="shared" si="76"/>
        <v>-72671393.365079403</v>
      </c>
      <c r="G182" s="18">
        <f t="shared" si="76"/>
        <v>-72671393.365079403</v>
      </c>
      <c r="H182" s="18">
        <f t="shared" si="76"/>
        <v>-72671393.365079403</v>
      </c>
      <c r="I182" s="18">
        <f t="shared" si="76"/>
        <v>-72671393.365079403</v>
      </c>
      <c r="J182" s="18">
        <f t="shared" si="76"/>
        <v>-72671393.365079403</v>
      </c>
      <c r="K182" s="7"/>
    </row>
    <row r="187" spans="3:11">
      <c r="F187" t="s">
        <v>118</v>
      </c>
    </row>
    <row r="188" spans="3:11">
      <c r="D188" s="7" t="s">
        <v>22</v>
      </c>
      <c r="E188" s="7" t="s">
        <v>3</v>
      </c>
      <c r="F188" s="7" t="s">
        <v>42</v>
      </c>
      <c r="G188" s="7" t="s">
        <v>43</v>
      </c>
    </row>
    <row r="189" spans="3:11">
      <c r="D189" s="7" t="s">
        <v>10</v>
      </c>
      <c r="E189" s="220">
        <f>D156</f>
        <v>1345458283.4642859</v>
      </c>
      <c r="F189" s="220">
        <f>D136</f>
        <v>1304533314.4642859</v>
      </c>
      <c r="G189" s="220">
        <f t="shared" ref="G189:G192" si="77">F189-E189</f>
        <v>-40924969</v>
      </c>
      <c r="H189" t="s">
        <v>113</v>
      </c>
    </row>
    <row r="190" spans="3:11">
      <c r="D190" s="7" t="s">
        <v>15</v>
      </c>
      <c r="E190" s="220">
        <f>D160</f>
        <v>1335895977</v>
      </c>
      <c r="F190" s="220">
        <f>K140</f>
        <v>1071999940</v>
      </c>
      <c r="G190" s="220">
        <f t="shared" si="77"/>
        <v>-263896037</v>
      </c>
      <c r="H190" t="s">
        <v>119</v>
      </c>
    </row>
    <row r="191" spans="3:11">
      <c r="D191" s="7" t="s">
        <v>17</v>
      </c>
      <c r="E191" s="220">
        <f>D164</f>
        <v>651761479</v>
      </c>
      <c r="F191" s="220">
        <f>K144</f>
        <v>631283868</v>
      </c>
      <c r="G191" s="220">
        <f t="shared" si="77"/>
        <v>-20477611</v>
      </c>
      <c r="H191" t="s">
        <v>120</v>
      </c>
    </row>
    <row r="192" spans="3:11">
      <c r="D192" s="7" t="s">
        <v>111</v>
      </c>
      <c r="E192" s="220">
        <f>SUM(E189:E191)</f>
        <v>3333115739.4642859</v>
      </c>
      <c r="F192" s="220">
        <f>SUM(F189:F191)</f>
        <v>3007817122.4642859</v>
      </c>
      <c r="G192" s="220">
        <f t="shared" si="77"/>
        <v>-325298617</v>
      </c>
    </row>
    <row r="193" spans="4:7">
      <c r="G193" s="21">
        <f>G192/23000</f>
        <v>-14143.418130434782</v>
      </c>
    </row>
    <row r="196" spans="4:7">
      <c r="D196" s="7" t="s">
        <v>30</v>
      </c>
      <c r="E196" s="7" t="s">
        <v>3</v>
      </c>
      <c r="F196" s="7" t="s">
        <v>42</v>
      </c>
      <c r="G196" s="7" t="s">
        <v>43</v>
      </c>
    </row>
    <row r="197" spans="4:7">
      <c r="D197" s="7" t="s">
        <v>10</v>
      </c>
      <c r="E197" s="220">
        <f t="shared" ref="E197:E199" si="78">E189</f>
        <v>1345458283.4642859</v>
      </c>
      <c r="F197" s="220">
        <f>D157</f>
        <v>1271252878.4642859</v>
      </c>
      <c r="G197" s="220">
        <f t="shared" ref="G197:G200" si="79">F197-E197</f>
        <v>-74205405</v>
      </c>
    </row>
    <row r="198" spans="4:7">
      <c r="D198" s="7" t="s">
        <v>15</v>
      </c>
      <c r="E198" s="220">
        <f t="shared" si="78"/>
        <v>1335895977</v>
      </c>
      <c r="F198" s="220">
        <f>K161</f>
        <v>1051728731.968254</v>
      </c>
      <c r="G198" s="220">
        <f t="shared" si="79"/>
        <v>-284167245.03174603</v>
      </c>
    </row>
    <row r="199" spans="4:7">
      <c r="D199" s="7" t="s">
        <v>17</v>
      </c>
      <c r="E199" s="220">
        <f t="shared" si="78"/>
        <v>651761479</v>
      </c>
      <c r="F199" s="220">
        <f>K165</f>
        <v>612164118.66666663</v>
      </c>
      <c r="G199" s="220">
        <f t="shared" si="79"/>
        <v>-39597360.333333373</v>
      </c>
    </row>
    <row r="200" spans="4:7">
      <c r="D200" s="7" t="s">
        <v>111</v>
      </c>
      <c r="E200" s="220">
        <f>SUM(E197:E199)</f>
        <v>3333115739.4642859</v>
      </c>
      <c r="F200" s="220">
        <f>SUM(F197:F199)</f>
        <v>2935145729.0992064</v>
      </c>
      <c r="G200" s="220">
        <f t="shared" si="79"/>
        <v>-397970010.3650794</v>
      </c>
    </row>
    <row r="201" spans="4:7">
      <c r="G201" s="21">
        <f>G200/23000</f>
        <v>-17303.043928916497</v>
      </c>
    </row>
    <row r="204" spans="4:7">
      <c r="G204" s="21">
        <f>G201-G193</f>
        <v>-3159.6257984817148</v>
      </c>
    </row>
  </sheetData>
  <mergeCells count="107">
    <mergeCell ref="I34:I36"/>
    <mergeCell ref="I41:I43"/>
    <mergeCell ref="J50:J51"/>
    <mergeCell ref="K50:M51"/>
    <mergeCell ref="K62:M64"/>
    <mergeCell ref="K68:M70"/>
    <mergeCell ref="K74:M76"/>
    <mergeCell ref="K80:M82"/>
    <mergeCell ref="B133:C134"/>
    <mergeCell ref="K125:M125"/>
    <mergeCell ref="K126:M126"/>
    <mergeCell ref="K127:M127"/>
    <mergeCell ref="K128:M128"/>
    <mergeCell ref="K129:M129"/>
    <mergeCell ref="K130:M130"/>
    <mergeCell ref="B73:B78"/>
    <mergeCell ref="B79:B84"/>
    <mergeCell ref="B85:B130"/>
    <mergeCell ref="D50:D51"/>
    <mergeCell ref="E50:E51"/>
    <mergeCell ref="K116:M116"/>
    <mergeCell ref="K117:M117"/>
    <mergeCell ref="K118:M118"/>
    <mergeCell ref="K119:M119"/>
    <mergeCell ref="B135:B138"/>
    <mergeCell ref="B139:B142"/>
    <mergeCell ref="B143:B146"/>
    <mergeCell ref="B147:B150"/>
    <mergeCell ref="B156:B159"/>
    <mergeCell ref="B160:B163"/>
    <mergeCell ref="B164:B167"/>
    <mergeCell ref="B168:B171"/>
    <mergeCell ref="C50:C51"/>
    <mergeCell ref="C53:C56"/>
    <mergeCell ref="C57:C60"/>
    <mergeCell ref="C61:C64"/>
    <mergeCell ref="C67:C70"/>
    <mergeCell ref="C73:C76"/>
    <mergeCell ref="C79:C82"/>
    <mergeCell ref="C85:C98"/>
    <mergeCell ref="C99:C112"/>
    <mergeCell ref="C113:C126"/>
    <mergeCell ref="C127:C129"/>
    <mergeCell ref="B50:B51"/>
    <mergeCell ref="B53:B56"/>
    <mergeCell ref="B57:B60"/>
    <mergeCell ref="B61:B66"/>
    <mergeCell ref="B67:B72"/>
    <mergeCell ref="K120:M120"/>
    <mergeCell ref="K121:M121"/>
    <mergeCell ref="K122:M122"/>
    <mergeCell ref="K123:M123"/>
    <mergeCell ref="K124:M124"/>
    <mergeCell ref="K107:M107"/>
    <mergeCell ref="K108:M108"/>
    <mergeCell ref="K109:M109"/>
    <mergeCell ref="K110:M110"/>
    <mergeCell ref="K111:M111"/>
    <mergeCell ref="K112:M112"/>
    <mergeCell ref="K113:M113"/>
    <mergeCell ref="K114:M114"/>
    <mergeCell ref="K115:M115"/>
    <mergeCell ref="K98:M98"/>
    <mergeCell ref="K99:M99"/>
    <mergeCell ref="K100:M100"/>
    <mergeCell ref="K101:M101"/>
    <mergeCell ref="K102:M102"/>
    <mergeCell ref="K103:M103"/>
    <mergeCell ref="K104:M104"/>
    <mergeCell ref="K105:M105"/>
    <mergeCell ref="K106:M106"/>
    <mergeCell ref="K89:M89"/>
    <mergeCell ref="K90:M90"/>
    <mergeCell ref="K91:M91"/>
    <mergeCell ref="K92:M92"/>
    <mergeCell ref="K93:M93"/>
    <mergeCell ref="K94:M94"/>
    <mergeCell ref="K95:M95"/>
    <mergeCell ref="K96:M96"/>
    <mergeCell ref="K97:M97"/>
    <mergeCell ref="K77:M77"/>
    <mergeCell ref="K78:M78"/>
    <mergeCell ref="K79:M79"/>
    <mergeCell ref="K83:M83"/>
    <mergeCell ref="K84:M84"/>
    <mergeCell ref="K85:M85"/>
    <mergeCell ref="K86:M86"/>
    <mergeCell ref="K87:M87"/>
    <mergeCell ref="K88:M88"/>
    <mergeCell ref="K59:M59"/>
    <mergeCell ref="K60:M60"/>
    <mergeCell ref="K61:M61"/>
    <mergeCell ref="K65:M65"/>
    <mergeCell ref="K66:M66"/>
    <mergeCell ref="K67:M67"/>
    <mergeCell ref="K71:M71"/>
    <mergeCell ref="K72:M72"/>
    <mergeCell ref="K73:M73"/>
    <mergeCell ref="F50:G50"/>
    <mergeCell ref="H50:I50"/>
    <mergeCell ref="K52:M52"/>
    <mergeCell ref="K53:M53"/>
    <mergeCell ref="K54:M54"/>
    <mergeCell ref="K55:M55"/>
    <mergeCell ref="K56:M56"/>
    <mergeCell ref="K57:M57"/>
    <mergeCell ref="K58:M58"/>
  </mergeCells>
  <pageMargins left="0.7" right="0.7" top="0.75" bottom="0.75" header="0.3" footer="0.3"/>
  <pageSetup paperSize="9" scale="33" orientation="portrait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73"/>
  <sheetViews>
    <sheetView showGridLines="0" topLeftCell="A16" zoomScale="85" zoomScaleNormal="85" workbookViewId="0">
      <selection activeCell="C34" sqref="C34:C42"/>
    </sheetView>
  </sheetViews>
  <sheetFormatPr defaultColWidth="9" defaultRowHeight="15"/>
  <cols>
    <col min="2" max="2" width="22.85546875" customWidth="1"/>
    <col min="3" max="3" width="14.5703125" customWidth="1"/>
    <col min="4" max="4" width="8.85546875" customWidth="1"/>
    <col min="5" max="5" width="15.7109375" customWidth="1"/>
    <col min="6" max="6" width="14.5703125" customWidth="1"/>
    <col min="7" max="7" width="8" customWidth="1"/>
    <col min="8" max="8" width="15.7109375" customWidth="1"/>
    <col min="9" max="9" width="14.5703125" customWidth="1"/>
    <col min="10" max="10" width="8.28515625" customWidth="1"/>
    <col min="11" max="11" width="15.7109375" customWidth="1"/>
    <col min="14" max="14" width="22.85546875" customWidth="1"/>
    <col min="15" max="15" width="14.5703125" customWidth="1"/>
    <col min="16" max="16" width="8.85546875" customWidth="1"/>
    <col min="17" max="17" width="15.7109375" customWidth="1"/>
    <col min="18" max="18" width="14.5703125" customWidth="1"/>
    <col min="19" max="19" width="8" customWidth="1"/>
    <col min="20" max="20" width="15.7109375" customWidth="1"/>
    <col min="21" max="21" width="14.5703125" customWidth="1"/>
    <col min="22" max="22" width="8.28515625" customWidth="1"/>
    <col min="23" max="23" width="15.7109375" customWidth="1"/>
  </cols>
  <sheetData>
    <row r="2" spans="2:23" ht="15.75">
      <c r="B2" s="2" t="s">
        <v>227</v>
      </c>
      <c r="C2" t="s">
        <v>248</v>
      </c>
      <c r="F2" t="s">
        <v>288</v>
      </c>
      <c r="I2" t="s">
        <v>248</v>
      </c>
      <c r="N2" s="2"/>
    </row>
    <row r="3" spans="2:23">
      <c r="B3" s="354" t="s">
        <v>3</v>
      </c>
      <c r="C3" s="268" t="s">
        <v>10</v>
      </c>
      <c r="D3" s="347"/>
      <c r="E3" s="269"/>
      <c r="F3" s="268" t="s">
        <v>15</v>
      </c>
      <c r="G3" s="347"/>
      <c r="H3" s="269"/>
      <c r="I3" s="268" t="s">
        <v>17</v>
      </c>
      <c r="J3" s="347"/>
      <c r="K3" s="269"/>
      <c r="N3" s="354" t="s">
        <v>4</v>
      </c>
      <c r="O3" s="268" t="s">
        <v>10</v>
      </c>
      <c r="P3" s="347"/>
      <c r="Q3" s="269"/>
      <c r="R3" s="268" t="s">
        <v>15</v>
      </c>
      <c r="S3" s="347"/>
      <c r="T3" s="269"/>
      <c r="U3" s="268" t="s">
        <v>17</v>
      </c>
      <c r="V3" s="347"/>
      <c r="W3" s="269"/>
    </row>
    <row r="4" spans="2:23">
      <c r="B4" s="355"/>
      <c r="C4" s="5" t="s">
        <v>180</v>
      </c>
      <c r="D4" s="6" t="s">
        <v>41</v>
      </c>
      <c r="E4" s="6" t="s">
        <v>44</v>
      </c>
      <c r="F4" s="5" t="s">
        <v>180</v>
      </c>
      <c r="G4" s="6" t="s">
        <v>41</v>
      </c>
      <c r="H4" s="6" t="s">
        <v>44</v>
      </c>
      <c r="I4" s="5" t="s">
        <v>180</v>
      </c>
      <c r="J4" s="6" t="s">
        <v>41</v>
      </c>
      <c r="K4" s="6" t="s">
        <v>44</v>
      </c>
      <c r="N4" s="355"/>
      <c r="O4" s="5" t="s">
        <v>180</v>
      </c>
      <c r="P4" s="6" t="s">
        <v>41</v>
      </c>
      <c r="Q4" s="6" t="s">
        <v>44</v>
      </c>
      <c r="R4" s="5" t="s">
        <v>180</v>
      </c>
      <c r="S4" s="6" t="s">
        <v>41</v>
      </c>
      <c r="T4" s="6" t="s">
        <v>44</v>
      </c>
      <c r="U4" s="5" t="s">
        <v>180</v>
      </c>
      <c r="V4" s="6" t="s">
        <v>41</v>
      </c>
      <c r="W4" s="6" t="s">
        <v>44</v>
      </c>
    </row>
    <row r="5" spans="2:23">
      <c r="B5" s="7" t="s">
        <v>233</v>
      </c>
      <c r="C5" s="8">
        <v>30000000</v>
      </c>
      <c r="D5" s="7">
        <v>1</v>
      </c>
      <c r="E5" s="8">
        <f t="shared" ref="E5:E13" si="0">+C5*D5</f>
        <v>30000000</v>
      </c>
      <c r="F5" s="8">
        <v>30000000</v>
      </c>
      <c r="G5" s="7">
        <v>1</v>
      </c>
      <c r="H5" s="8">
        <f t="shared" ref="H5:H13" si="1">+F5*G5</f>
        <v>30000000</v>
      </c>
      <c r="I5" s="8">
        <v>30000000</v>
      </c>
      <c r="J5" s="7">
        <v>1</v>
      </c>
      <c r="K5" s="8">
        <f t="shared" ref="K5:K13" si="2">+I5*J5</f>
        <v>30000000</v>
      </c>
      <c r="N5" s="7" t="s">
        <v>233</v>
      </c>
      <c r="O5" s="8"/>
      <c r="P5" s="7"/>
      <c r="Q5" s="8">
        <f t="shared" ref="Q5:Q13" si="3">+O5*P5</f>
        <v>0</v>
      </c>
      <c r="R5" s="8"/>
      <c r="S5" s="7"/>
      <c r="T5" s="8">
        <f t="shared" ref="T5:T13" si="4">+R5*S5</f>
        <v>0</v>
      </c>
      <c r="U5" s="8"/>
      <c r="V5" s="7"/>
      <c r="W5" s="8">
        <f t="shared" ref="W5:W13" si="5">+U5*V5</f>
        <v>0</v>
      </c>
    </row>
    <row r="6" spans="2:23">
      <c r="B6" s="7" t="s">
        <v>234</v>
      </c>
      <c r="C6" s="8">
        <v>0</v>
      </c>
      <c r="D6" s="7">
        <v>1</v>
      </c>
      <c r="E6" s="8">
        <f t="shared" si="0"/>
        <v>0</v>
      </c>
      <c r="F6" s="8">
        <v>0</v>
      </c>
      <c r="G6" s="7">
        <v>1</v>
      </c>
      <c r="H6" s="8">
        <f t="shared" si="1"/>
        <v>0</v>
      </c>
      <c r="I6" s="8">
        <v>0</v>
      </c>
      <c r="J6" s="7">
        <v>1</v>
      </c>
      <c r="K6" s="8">
        <f t="shared" si="2"/>
        <v>0</v>
      </c>
      <c r="N6" s="7" t="s">
        <v>234</v>
      </c>
      <c r="O6" s="8"/>
      <c r="P6" s="7"/>
      <c r="Q6" s="8">
        <f t="shared" si="3"/>
        <v>0</v>
      </c>
      <c r="R6" s="8"/>
      <c r="S6" s="7"/>
      <c r="T6" s="8">
        <f t="shared" si="4"/>
        <v>0</v>
      </c>
      <c r="U6" s="8"/>
      <c r="V6" s="7"/>
      <c r="W6" s="8">
        <f t="shared" si="5"/>
        <v>0</v>
      </c>
    </row>
    <row r="7" spans="2:23">
      <c r="B7" s="7" t="s">
        <v>235</v>
      </c>
      <c r="C7" s="8">
        <v>6000</v>
      </c>
      <c r="D7" s="7">
        <v>0</v>
      </c>
      <c r="E7" s="8">
        <f t="shared" si="0"/>
        <v>0</v>
      </c>
      <c r="F7" s="8">
        <v>6000</v>
      </c>
      <c r="G7" s="7">
        <v>300</v>
      </c>
      <c r="H7" s="8">
        <f t="shared" si="1"/>
        <v>1800000</v>
      </c>
      <c r="I7" s="8">
        <v>6000</v>
      </c>
      <c r="J7" s="7">
        <v>300</v>
      </c>
      <c r="K7" s="8">
        <f t="shared" si="2"/>
        <v>1800000</v>
      </c>
      <c r="N7" s="7" t="s">
        <v>235</v>
      </c>
      <c r="O7" s="8"/>
      <c r="P7" s="7"/>
      <c r="Q7" s="8">
        <f t="shared" si="3"/>
        <v>0</v>
      </c>
      <c r="R7" s="8"/>
      <c r="S7" s="7"/>
      <c r="T7" s="8">
        <f t="shared" si="4"/>
        <v>0</v>
      </c>
      <c r="U7" s="8"/>
      <c r="V7" s="7"/>
      <c r="W7" s="8">
        <f t="shared" si="5"/>
        <v>0</v>
      </c>
    </row>
    <row r="8" spans="2:23">
      <c r="B8" s="7" t="s">
        <v>236</v>
      </c>
      <c r="C8" s="8">
        <v>50000</v>
      </c>
      <c r="D8" s="7">
        <v>16</v>
      </c>
      <c r="E8" s="8">
        <f t="shared" si="0"/>
        <v>800000</v>
      </c>
      <c r="F8" s="8">
        <v>50000</v>
      </c>
      <c r="G8" s="7">
        <v>35</v>
      </c>
      <c r="H8" s="8">
        <f t="shared" si="1"/>
        <v>1750000</v>
      </c>
      <c r="I8" s="8">
        <v>50000</v>
      </c>
      <c r="J8" s="7">
        <v>20</v>
      </c>
      <c r="K8" s="8">
        <f t="shared" si="2"/>
        <v>1000000</v>
      </c>
      <c r="N8" s="7" t="s">
        <v>236</v>
      </c>
      <c r="O8" s="8"/>
      <c r="P8" s="7"/>
      <c r="Q8" s="8">
        <f t="shared" si="3"/>
        <v>0</v>
      </c>
      <c r="R8" s="8"/>
      <c r="S8" s="7"/>
      <c r="T8" s="8">
        <f t="shared" si="4"/>
        <v>0</v>
      </c>
      <c r="U8" s="8"/>
      <c r="V8" s="7"/>
      <c r="W8" s="8">
        <f t="shared" si="5"/>
        <v>0</v>
      </c>
    </row>
    <row r="9" spans="2:23">
      <c r="B9" s="7" t="s">
        <v>237</v>
      </c>
      <c r="C9" s="8">
        <v>1000000</v>
      </c>
      <c r="D9" s="7">
        <v>0.3</v>
      </c>
      <c r="E9" s="8">
        <f t="shared" si="0"/>
        <v>300000</v>
      </c>
      <c r="F9" s="8">
        <v>1000000</v>
      </c>
      <c r="G9" s="7">
        <v>0.5</v>
      </c>
      <c r="H9" s="8">
        <f t="shared" si="1"/>
        <v>500000</v>
      </c>
      <c r="I9" s="8">
        <v>1000000</v>
      </c>
      <c r="J9" s="7">
        <v>0.3</v>
      </c>
      <c r="K9" s="8">
        <f t="shared" si="2"/>
        <v>300000</v>
      </c>
      <c r="N9" s="7" t="s">
        <v>237</v>
      </c>
      <c r="O9" s="8"/>
      <c r="P9" s="7"/>
      <c r="Q9" s="8">
        <f t="shared" si="3"/>
        <v>0</v>
      </c>
      <c r="R9" s="8"/>
      <c r="S9" s="7"/>
      <c r="T9" s="8">
        <f t="shared" si="4"/>
        <v>0</v>
      </c>
      <c r="U9" s="8"/>
      <c r="V9" s="7"/>
      <c r="W9" s="8">
        <f t="shared" si="5"/>
        <v>0</v>
      </c>
    </row>
    <row r="10" spans="2:23">
      <c r="B10" s="7" t="s">
        <v>238</v>
      </c>
      <c r="C10" s="8">
        <v>600000</v>
      </c>
      <c r="D10" s="7">
        <v>0</v>
      </c>
      <c r="E10" s="8">
        <f t="shared" si="0"/>
        <v>0</v>
      </c>
      <c r="F10" s="8">
        <v>600000</v>
      </c>
      <c r="G10" s="7">
        <v>0</v>
      </c>
      <c r="H10" s="8">
        <f t="shared" si="1"/>
        <v>0</v>
      </c>
      <c r="I10" s="8">
        <v>600000</v>
      </c>
      <c r="J10" s="7">
        <v>0</v>
      </c>
      <c r="K10" s="8">
        <f t="shared" si="2"/>
        <v>0</v>
      </c>
      <c r="N10" s="7" t="s">
        <v>238</v>
      </c>
      <c r="O10" s="8"/>
      <c r="P10" s="7"/>
      <c r="Q10" s="8">
        <f t="shared" si="3"/>
        <v>0</v>
      </c>
      <c r="R10" s="8"/>
      <c r="S10" s="7"/>
      <c r="T10" s="8">
        <f t="shared" si="4"/>
        <v>0</v>
      </c>
      <c r="U10" s="8"/>
      <c r="V10" s="7"/>
      <c r="W10" s="8">
        <f t="shared" si="5"/>
        <v>0</v>
      </c>
    </row>
    <row r="11" spans="2:23">
      <c r="B11" s="7" t="s">
        <v>239</v>
      </c>
      <c r="C11" s="8">
        <v>420000</v>
      </c>
      <c r="D11" s="7">
        <v>0</v>
      </c>
      <c r="E11" s="8">
        <f t="shared" si="0"/>
        <v>0</v>
      </c>
      <c r="F11" s="8">
        <v>420000</v>
      </c>
      <c r="G11" s="7">
        <v>0</v>
      </c>
      <c r="H11" s="8">
        <f t="shared" si="1"/>
        <v>0</v>
      </c>
      <c r="I11" s="8">
        <v>420000</v>
      </c>
      <c r="J11" s="7">
        <v>0</v>
      </c>
      <c r="K11" s="8">
        <f t="shared" si="2"/>
        <v>0</v>
      </c>
      <c r="N11" s="7" t="s">
        <v>239</v>
      </c>
      <c r="O11" s="8"/>
      <c r="P11" s="7"/>
      <c r="Q11" s="8">
        <f t="shared" si="3"/>
        <v>0</v>
      </c>
      <c r="R11" s="8"/>
      <c r="S11" s="7"/>
      <c r="T11" s="8">
        <f t="shared" si="4"/>
        <v>0</v>
      </c>
      <c r="U11" s="8"/>
      <c r="V11" s="7"/>
      <c r="W11" s="8">
        <f t="shared" si="5"/>
        <v>0</v>
      </c>
    </row>
    <row r="12" spans="2:23">
      <c r="B12" s="7" t="s">
        <v>240</v>
      </c>
      <c r="C12" s="8">
        <v>315000</v>
      </c>
      <c r="D12" s="7">
        <v>0</v>
      </c>
      <c r="E12" s="8">
        <f t="shared" si="0"/>
        <v>0</v>
      </c>
      <c r="F12" s="8">
        <v>315000</v>
      </c>
      <c r="G12" s="7">
        <v>0</v>
      </c>
      <c r="H12" s="8">
        <f t="shared" si="1"/>
        <v>0</v>
      </c>
      <c r="I12" s="8">
        <v>315000</v>
      </c>
      <c r="J12" s="7">
        <v>0</v>
      </c>
      <c r="K12" s="8">
        <f t="shared" si="2"/>
        <v>0</v>
      </c>
      <c r="N12" s="7" t="s">
        <v>240</v>
      </c>
      <c r="O12" s="8"/>
      <c r="P12" s="7"/>
      <c r="Q12" s="8">
        <f t="shared" si="3"/>
        <v>0</v>
      </c>
      <c r="R12" s="8"/>
      <c r="S12" s="7"/>
      <c r="T12" s="8">
        <f t="shared" si="4"/>
        <v>0</v>
      </c>
      <c r="U12" s="8"/>
      <c r="V12" s="7"/>
      <c r="W12" s="8">
        <f t="shared" si="5"/>
        <v>0</v>
      </c>
    </row>
    <row r="13" spans="2:23">
      <c r="B13" s="7" t="s">
        <v>241</v>
      </c>
      <c r="C13" s="8"/>
      <c r="D13" s="7">
        <v>0</v>
      </c>
      <c r="E13" s="8">
        <f t="shared" si="0"/>
        <v>0</v>
      </c>
      <c r="F13" s="8"/>
      <c r="G13" s="7">
        <v>0</v>
      </c>
      <c r="H13" s="8">
        <f t="shared" si="1"/>
        <v>0</v>
      </c>
      <c r="I13" s="8"/>
      <c r="J13" s="7">
        <v>0</v>
      </c>
      <c r="K13" s="8">
        <f t="shared" si="2"/>
        <v>0</v>
      </c>
      <c r="N13" s="7" t="s">
        <v>241</v>
      </c>
      <c r="O13" s="8"/>
      <c r="P13" s="7"/>
      <c r="Q13" s="8">
        <f t="shared" si="3"/>
        <v>0</v>
      </c>
      <c r="R13" s="8"/>
      <c r="S13" s="7"/>
      <c r="T13" s="8">
        <f t="shared" si="4"/>
        <v>0</v>
      </c>
      <c r="U13" s="8"/>
      <c r="V13" s="7"/>
      <c r="W13" s="8">
        <f t="shared" si="5"/>
        <v>0</v>
      </c>
    </row>
    <row r="14" spans="2:23" s="1" customFormat="1">
      <c r="B14" s="9"/>
      <c r="C14" s="9"/>
      <c r="D14" s="6" t="s">
        <v>48</v>
      </c>
      <c r="E14" s="10">
        <f>SUM(E5:E13)</f>
        <v>31100000</v>
      </c>
      <c r="F14" s="9"/>
      <c r="G14" s="6" t="s">
        <v>48</v>
      </c>
      <c r="H14" s="10">
        <f>SUM(H5:H13)</f>
        <v>34050000</v>
      </c>
      <c r="I14" s="9"/>
      <c r="J14" s="6" t="s">
        <v>48</v>
      </c>
      <c r="K14" s="10">
        <f>SUM(K5:K13)</f>
        <v>33100000</v>
      </c>
      <c r="N14" s="9"/>
      <c r="O14" s="9"/>
      <c r="P14" s="6" t="s">
        <v>48</v>
      </c>
      <c r="Q14" s="10">
        <f>SUM(Q5:Q13)</f>
        <v>0</v>
      </c>
      <c r="R14" s="9"/>
      <c r="S14" s="6" t="s">
        <v>48</v>
      </c>
      <c r="T14" s="15">
        <f>SUM(T5:T13)</f>
        <v>0</v>
      </c>
      <c r="U14" s="9"/>
      <c r="V14" s="6" t="s">
        <v>48</v>
      </c>
      <c r="W14" s="10">
        <f>SUM(W5:W13)</f>
        <v>0</v>
      </c>
    </row>
    <row r="15" spans="2:23">
      <c r="K15" s="14">
        <f>(E14+H14+K14)/3</f>
        <v>32750000</v>
      </c>
      <c r="W15" s="14">
        <f>(Q14+T14+W14)/3</f>
        <v>0</v>
      </c>
    </row>
    <row r="16" spans="2:23">
      <c r="B16" s="24" t="s">
        <v>289</v>
      </c>
      <c r="C16" t="s">
        <v>290</v>
      </c>
      <c r="F16" t="s">
        <v>281</v>
      </c>
      <c r="I16" t="s">
        <v>291</v>
      </c>
      <c r="K16" s="14"/>
      <c r="W16" s="14"/>
    </row>
    <row r="17" spans="2:23">
      <c r="B17" s="354" t="s">
        <v>4</v>
      </c>
      <c r="C17" s="268" t="s">
        <v>10</v>
      </c>
      <c r="D17" s="347"/>
      <c r="E17" s="269"/>
      <c r="F17" s="268" t="s">
        <v>15</v>
      </c>
      <c r="G17" s="347"/>
      <c r="H17" s="269"/>
      <c r="I17" s="268" t="s">
        <v>17</v>
      </c>
      <c r="J17" s="347"/>
      <c r="K17" s="269"/>
      <c r="N17" s="354" t="s">
        <v>4</v>
      </c>
      <c r="O17" s="268" t="s">
        <v>10</v>
      </c>
      <c r="P17" s="347"/>
      <c r="Q17" s="269"/>
      <c r="R17" s="268" t="s">
        <v>15</v>
      </c>
      <c r="S17" s="347"/>
      <c r="T17" s="269"/>
      <c r="U17" s="268" t="s">
        <v>17</v>
      </c>
      <c r="V17" s="347"/>
      <c r="W17" s="269"/>
    </row>
    <row r="18" spans="2:23">
      <c r="B18" s="355"/>
      <c r="C18" s="5" t="s">
        <v>180</v>
      </c>
      <c r="D18" s="6" t="s">
        <v>41</v>
      </c>
      <c r="E18" s="6" t="s">
        <v>44</v>
      </c>
      <c r="F18" s="5" t="s">
        <v>180</v>
      </c>
      <c r="G18" s="6" t="s">
        <v>41</v>
      </c>
      <c r="H18" s="6" t="s">
        <v>44</v>
      </c>
      <c r="I18" s="5" t="s">
        <v>180</v>
      </c>
      <c r="J18" s="6" t="s">
        <v>41</v>
      </c>
      <c r="K18" s="6" t="s">
        <v>44</v>
      </c>
      <c r="N18" s="355"/>
      <c r="O18" s="5" t="s">
        <v>180</v>
      </c>
      <c r="P18" s="6" t="s">
        <v>41</v>
      </c>
      <c r="Q18" s="6" t="s">
        <v>44</v>
      </c>
      <c r="R18" s="5" t="s">
        <v>180</v>
      </c>
      <c r="S18" s="6" t="s">
        <v>41</v>
      </c>
      <c r="T18" s="6" t="s">
        <v>44</v>
      </c>
      <c r="U18" s="5" t="s">
        <v>180</v>
      </c>
      <c r="V18" s="6" t="s">
        <v>41</v>
      </c>
      <c r="W18" s="6" t="s">
        <v>44</v>
      </c>
    </row>
    <row r="19" spans="2:23">
      <c r="B19" s="7" t="s">
        <v>233</v>
      </c>
      <c r="C19" s="8">
        <v>39580000</v>
      </c>
      <c r="D19" s="7">
        <v>11</v>
      </c>
      <c r="E19" s="8">
        <f t="shared" ref="E19:E27" si="6">+C19*D19</f>
        <v>435380000</v>
      </c>
      <c r="F19" s="8">
        <v>39961000</v>
      </c>
      <c r="G19" s="7">
        <v>1</v>
      </c>
      <c r="H19" s="8">
        <f t="shared" ref="H19:H27" si="7">+F19*G19</f>
        <v>39961000</v>
      </c>
      <c r="I19" s="8">
        <v>39960000</v>
      </c>
      <c r="J19" s="7">
        <v>1</v>
      </c>
      <c r="K19" s="8">
        <f t="shared" ref="K19:K27" si="8">+I19*J19</f>
        <v>39960000</v>
      </c>
      <c r="N19" s="7" t="s">
        <v>233</v>
      </c>
      <c r="O19" s="8">
        <v>39580000</v>
      </c>
      <c r="P19" s="7">
        <v>11</v>
      </c>
      <c r="Q19" s="8">
        <f t="shared" ref="Q19:Q27" si="9">+O19*P19</f>
        <v>435380000</v>
      </c>
      <c r="R19" s="8">
        <v>39961000</v>
      </c>
      <c r="S19" s="7">
        <v>1</v>
      </c>
      <c r="T19" s="8">
        <f t="shared" ref="T19:T27" si="10">+R19*S19</f>
        <v>39961000</v>
      </c>
      <c r="U19" s="8">
        <v>39960000</v>
      </c>
      <c r="V19" s="7">
        <v>1</v>
      </c>
      <c r="W19" s="8">
        <f t="shared" ref="W19:W27" si="11">+U19*V19</f>
        <v>39960000</v>
      </c>
    </row>
    <row r="20" spans="2:23">
      <c r="B20" s="7" t="s">
        <v>234</v>
      </c>
      <c r="C20" s="8">
        <v>6774000</v>
      </c>
      <c r="D20" s="7">
        <v>11</v>
      </c>
      <c r="E20" s="8">
        <f t="shared" si="6"/>
        <v>74514000</v>
      </c>
      <c r="F20" s="8">
        <v>9102000</v>
      </c>
      <c r="G20" s="7">
        <v>1</v>
      </c>
      <c r="H20" s="8">
        <f t="shared" si="7"/>
        <v>9102000</v>
      </c>
      <c r="I20" s="8">
        <v>9102000</v>
      </c>
      <c r="J20" s="7">
        <v>1</v>
      </c>
      <c r="K20" s="8">
        <f t="shared" si="8"/>
        <v>9102000</v>
      </c>
      <c r="N20" s="7" t="s">
        <v>234</v>
      </c>
      <c r="O20" s="8">
        <v>6774000</v>
      </c>
      <c r="P20" s="7">
        <v>11</v>
      </c>
      <c r="Q20" s="8">
        <f t="shared" si="9"/>
        <v>74514000</v>
      </c>
      <c r="R20" s="8">
        <v>9102000</v>
      </c>
      <c r="S20" s="7">
        <v>1</v>
      </c>
      <c r="T20" s="8">
        <f t="shared" si="10"/>
        <v>9102000</v>
      </c>
      <c r="U20" s="8">
        <v>9102000</v>
      </c>
      <c r="V20" s="7">
        <v>1</v>
      </c>
      <c r="W20" s="8">
        <f t="shared" si="11"/>
        <v>9102000</v>
      </c>
    </row>
    <row r="21" spans="2:23">
      <c r="B21" s="7" t="s">
        <v>235</v>
      </c>
      <c r="C21" s="8">
        <v>7000</v>
      </c>
      <c r="D21" s="7">
        <v>0</v>
      </c>
      <c r="E21" s="8">
        <f t="shared" si="6"/>
        <v>0</v>
      </c>
      <c r="F21" s="8">
        <v>7000</v>
      </c>
      <c r="G21" s="7"/>
      <c r="H21" s="8">
        <f t="shared" si="7"/>
        <v>0</v>
      </c>
      <c r="I21" s="8">
        <v>7000</v>
      </c>
      <c r="J21" s="7">
        <v>0</v>
      </c>
      <c r="K21" s="8">
        <f t="shared" si="8"/>
        <v>0</v>
      </c>
      <c r="N21" s="7" t="s">
        <v>235</v>
      </c>
      <c r="O21" s="8">
        <v>4600</v>
      </c>
      <c r="P21" s="7">
        <v>0</v>
      </c>
      <c r="Q21" s="8">
        <f t="shared" si="9"/>
        <v>0</v>
      </c>
      <c r="R21" s="8">
        <v>4600</v>
      </c>
      <c r="S21" s="7"/>
      <c r="T21" s="8">
        <f t="shared" si="10"/>
        <v>0</v>
      </c>
      <c r="U21" s="8">
        <v>4600</v>
      </c>
      <c r="V21" s="7">
        <v>0</v>
      </c>
      <c r="W21" s="8">
        <f t="shared" si="11"/>
        <v>0</v>
      </c>
    </row>
    <row r="22" spans="2:23">
      <c r="B22" s="7" t="s">
        <v>236</v>
      </c>
      <c r="C22" s="8">
        <v>80300</v>
      </c>
      <c r="D22" s="7">
        <v>155</v>
      </c>
      <c r="E22" s="8">
        <f t="shared" si="6"/>
        <v>12446500</v>
      </c>
      <c r="F22" s="8">
        <v>80300</v>
      </c>
      <c r="G22" s="7">
        <v>35</v>
      </c>
      <c r="H22" s="8">
        <f t="shared" si="7"/>
        <v>2810500</v>
      </c>
      <c r="I22" s="8">
        <v>80300</v>
      </c>
      <c r="J22" s="7">
        <v>20</v>
      </c>
      <c r="K22" s="8">
        <f t="shared" si="8"/>
        <v>1606000</v>
      </c>
      <c r="N22" s="7" t="s">
        <v>236</v>
      </c>
      <c r="O22" s="8">
        <v>80300</v>
      </c>
      <c r="P22" s="7">
        <v>155</v>
      </c>
      <c r="Q22" s="8">
        <f t="shared" si="9"/>
        <v>12446500</v>
      </c>
      <c r="R22" s="8">
        <v>80300</v>
      </c>
      <c r="S22" s="7">
        <v>35</v>
      </c>
      <c r="T22" s="8">
        <f t="shared" si="10"/>
        <v>2810500</v>
      </c>
      <c r="U22" s="8">
        <v>80300</v>
      </c>
      <c r="V22" s="7">
        <v>20</v>
      </c>
      <c r="W22" s="8">
        <f t="shared" si="11"/>
        <v>1606000</v>
      </c>
    </row>
    <row r="23" spans="2:23">
      <c r="B23" s="7" t="s">
        <v>237</v>
      </c>
      <c r="C23" s="8">
        <v>1200000</v>
      </c>
      <c r="D23" s="7">
        <v>3</v>
      </c>
      <c r="E23" s="8">
        <f t="shared" si="6"/>
        <v>3600000</v>
      </c>
      <c r="F23" s="8">
        <v>1200000</v>
      </c>
      <c r="G23" s="7">
        <v>0.5</v>
      </c>
      <c r="H23" s="8">
        <f t="shared" si="7"/>
        <v>600000</v>
      </c>
      <c r="I23" s="8">
        <v>1200000</v>
      </c>
      <c r="J23" s="7">
        <v>0.3</v>
      </c>
      <c r="K23" s="8">
        <f t="shared" si="8"/>
        <v>360000</v>
      </c>
      <c r="N23" s="7" t="s">
        <v>237</v>
      </c>
      <c r="O23" s="8">
        <v>960000</v>
      </c>
      <c r="P23" s="7">
        <v>3</v>
      </c>
      <c r="Q23" s="8">
        <f t="shared" si="9"/>
        <v>2880000</v>
      </c>
      <c r="R23" s="8">
        <v>960000</v>
      </c>
      <c r="S23" s="7">
        <v>0.5</v>
      </c>
      <c r="T23" s="8">
        <f t="shared" si="10"/>
        <v>480000</v>
      </c>
      <c r="U23" s="8">
        <v>960000</v>
      </c>
      <c r="V23" s="7">
        <v>0.3</v>
      </c>
      <c r="W23" s="8">
        <f t="shared" si="11"/>
        <v>288000</v>
      </c>
    </row>
    <row r="24" spans="2:23">
      <c r="B24" s="7" t="s">
        <v>238</v>
      </c>
      <c r="C24" s="8">
        <v>650000</v>
      </c>
      <c r="D24" s="7">
        <v>0</v>
      </c>
      <c r="E24" s="8">
        <f t="shared" si="6"/>
        <v>0</v>
      </c>
      <c r="F24" s="8">
        <v>650000</v>
      </c>
      <c r="G24" s="7">
        <v>0</v>
      </c>
      <c r="H24" s="8">
        <f t="shared" si="7"/>
        <v>0</v>
      </c>
      <c r="I24" s="8">
        <v>650000</v>
      </c>
      <c r="J24" s="7">
        <v>0</v>
      </c>
      <c r="K24" s="8">
        <f t="shared" si="8"/>
        <v>0</v>
      </c>
      <c r="N24" s="7" t="s">
        <v>238</v>
      </c>
      <c r="O24" s="8">
        <v>530000</v>
      </c>
      <c r="P24" s="7">
        <v>0</v>
      </c>
      <c r="Q24" s="8">
        <f t="shared" si="9"/>
        <v>0</v>
      </c>
      <c r="R24" s="8">
        <v>530000</v>
      </c>
      <c r="S24" s="7">
        <v>0</v>
      </c>
      <c r="T24" s="8">
        <f t="shared" si="10"/>
        <v>0</v>
      </c>
      <c r="U24" s="8">
        <v>530000</v>
      </c>
      <c r="V24" s="7">
        <v>0</v>
      </c>
      <c r="W24" s="8">
        <f t="shared" si="11"/>
        <v>0</v>
      </c>
    </row>
    <row r="25" spans="2:23">
      <c r="B25" s="7" t="s">
        <v>239</v>
      </c>
      <c r="C25" s="8">
        <v>420000</v>
      </c>
      <c r="D25" s="7">
        <v>0</v>
      </c>
      <c r="E25" s="8">
        <f t="shared" si="6"/>
        <v>0</v>
      </c>
      <c r="F25" s="8">
        <v>420000</v>
      </c>
      <c r="G25" s="7">
        <v>0</v>
      </c>
      <c r="H25" s="8">
        <f t="shared" si="7"/>
        <v>0</v>
      </c>
      <c r="I25" s="8">
        <v>420000</v>
      </c>
      <c r="J25" s="7">
        <v>0</v>
      </c>
      <c r="K25" s="8">
        <f t="shared" si="8"/>
        <v>0</v>
      </c>
      <c r="N25" s="7" t="s">
        <v>239</v>
      </c>
      <c r="O25" s="8">
        <v>420000</v>
      </c>
      <c r="P25" s="7">
        <v>0</v>
      </c>
      <c r="Q25" s="8">
        <f t="shared" si="9"/>
        <v>0</v>
      </c>
      <c r="R25" s="8">
        <v>420000</v>
      </c>
      <c r="S25" s="7">
        <v>0</v>
      </c>
      <c r="T25" s="8">
        <f t="shared" si="10"/>
        <v>0</v>
      </c>
      <c r="U25" s="8">
        <v>420000</v>
      </c>
      <c r="V25" s="7">
        <v>0</v>
      </c>
      <c r="W25" s="8">
        <f t="shared" si="11"/>
        <v>0</v>
      </c>
    </row>
    <row r="26" spans="2:23">
      <c r="B26" s="7" t="s">
        <v>240</v>
      </c>
      <c r="C26" s="8">
        <v>450000</v>
      </c>
      <c r="D26" s="7">
        <v>0</v>
      </c>
      <c r="E26" s="8">
        <f t="shared" si="6"/>
        <v>0</v>
      </c>
      <c r="F26" s="8">
        <v>450000</v>
      </c>
      <c r="G26" s="7">
        <v>0</v>
      </c>
      <c r="H26" s="8">
        <f t="shared" si="7"/>
        <v>0</v>
      </c>
      <c r="I26" s="8">
        <v>450000</v>
      </c>
      <c r="J26" s="7">
        <v>0</v>
      </c>
      <c r="K26" s="8">
        <f t="shared" si="8"/>
        <v>0</v>
      </c>
      <c r="N26" s="7" t="s">
        <v>240</v>
      </c>
      <c r="O26" s="8">
        <v>450000</v>
      </c>
      <c r="P26" s="7">
        <v>0</v>
      </c>
      <c r="Q26" s="8">
        <f t="shared" si="9"/>
        <v>0</v>
      </c>
      <c r="R26" s="8">
        <v>450000</v>
      </c>
      <c r="S26" s="7">
        <v>0</v>
      </c>
      <c r="T26" s="8">
        <f t="shared" si="10"/>
        <v>0</v>
      </c>
      <c r="U26" s="8">
        <v>450000</v>
      </c>
      <c r="V26" s="7">
        <v>0</v>
      </c>
      <c r="W26" s="8">
        <f t="shared" si="11"/>
        <v>0</v>
      </c>
    </row>
    <row r="27" spans="2:23">
      <c r="B27" s="7" t="s">
        <v>241</v>
      </c>
      <c r="C27" s="8">
        <v>210000</v>
      </c>
      <c r="D27" s="7">
        <v>0</v>
      </c>
      <c r="E27" s="8">
        <f t="shared" si="6"/>
        <v>0</v>
      </c>
      <c r="F27" s="8">
        <v>210000</v>
      </c>
      <c r="G27" s="7">
        <v>0</v>
      </c>
      <c r="H27" s="8">
        <f t="shared" si="7"/>
        <v>0</v>
      </c>
      <c r="I27" s="8">
        <v>210000</v>
      </c>
      <c r="J27" s="7">
        <v>0</v>
      </c>
      <c r="K27" s="8">
        <f t="shared" si="8"/>
        <v>0</v>
      </c>
      <c r="N27" s="7" t="s">
        <v>241</v>
      </c>
      <c r="O27" s="8">
        <v>210000</v>
      </c>
      <c r="P27" s="7">
        <v>0</v>
      </c>
      <c r="Q27" s="8">
        <f t="shared" si="9"/>
        <v>0</v>
      </c>
      <c r="R27" s="8">
        <v>210000</v>
      </c>
      <c r="S27" s="7">
        <v>0</v>
      </c>
      <c r="T27" s="8">
        <f t="shared" si="10"/>
        <v>0</v>
      </c>
      <c r="U27" s="8">
        <v>210000</v>
      </c>
      <c r="V27" s="7">
        <v>0</v>
      </c>
      <c r="W27" s="8">
        <f t="shared" si="11"/>
        <v>0</v>
      </c>
    </row>
    <row r="28" spans="2:23" s="1" customFormat="1">
      <c r="B28" s="9"/>
      <c r="C28" s="9"/>
      <c r="D28" s="6" t="s">
        <v>48</v>
      </c>
      <c r="E28" s="10">
        <f>SUM(E19:E27)</f>
        <v>525940500</v>
      </c>
      <c r="F28" s="9"/>
      <c r="G28" s="6" t="s">
        <v>48</v>
      </c>
      <c r="H28" s="10">
        <f>SUM(H19:H27)</f>
        <v>52473500</v>
      </c>
      <c r="I28" s="9"/>
      <c r="J28" s="6" t="s">
        <v>48</v>
      </c>
      <c r="K28" s="10">
        <f>SUM(K19:K27)</f>
        <v>51028000</v>
      </c>
      <c r="N28" s="9"/>
      <c r="O28" s="9"/>
      <c r="P28" s="6" t="s">
        <v>48</v>
      </c>
      <c r="Q28" s="10">
        <f>SUM(Q19:Q27)</f>
        <v>525220500</v>
      </c>
      <c r="R28" s="9"/>
      <c r="S28" s="6" t="s">
        <v>48</v>
      </c>
      <c r="T28" s="15">
        <f>SUM(T19:T27)</f>
        <v>52353500</v>
      </c>
      <c r="U28" s="9"/>
      <c r="V28" s="6" t="s">
        <v>48</v>
      </c>
      <c r="W28" s="10">
        <f>SUM(W19:W27)</f>
        <v>50956000</v>
      </c>
    </row>
    <row r="29" spans="2:23">
      <c r="K29" s="14">
        <f>(E28+H28+K28)/3</f>
        <v>209814000</v>
      </c>
      <c r="W29" s="14">
        <f>(Q28+T28+W28)/3</f>
        <v>209510000</v>
      </c>
    </row>
    <row r="32" spans="2:23">
      <c r="B32" s="354" t="s">
        <v>5</v>
      </c>
      <c r="C32" s="268" t="s">
        <v>10</v>
      </c>
      <c r="D32" s="347"/>
      <c r="E32" s="269"/>
      <c r="F32" s="268" t="s">
        <v>15</v>
      </c>
      <c r="G32" s="347"/>
      <c r="H32" s="269"/>
      <c r="I32" s="268" t="s">
        <v>17</v>
      </c>
      <c r="J32" s="347"/>
      <c r="K32" s="269"/>
      <c r="N32" s="354" t="s">
        <v>5</v>
      </c>
      <c r="O32" s="268" t="s">
        <v>10</v>
      </c>
      <c r="P32" s="347"/>
      <c r="Q32" s="269"/>
      <c r="R32" s="268" t="s">
        <v>15</v>
      </c>
      <c r="S32" s="347"/>
      <c r="T32" s="269"/>
      <c r="U32" s="268" t="s">
        <v>17</v>
      </c>
      <c r="V32" s="347"/>
      <c r="W32" s="269"/>
    </row>
    <row r="33" spans="2:23">
      <c r="B33" s="355"/>
      <c r="C33" s="5" t="s">
        <v>180</v>
      </c>
      <c r="D33" s="6" t="s">
        <v>41</v>
      </c>
      <c r="E33" s="6" t="s">
        <v>44</v>
      </c>
      <c r="F33" s="5" t="s">
        <v>180</v>
      </c>
      <c r="G33" s="6" t="s">
        <v>41</v>
      </c>
      <c r="H33" s="6" t="s">
        <v>44</v>
      </c>
      <c r="I33" s="5" t="s">
        <v>180</v>
      </c>
      <c r="J33" s="6" t="s">
        <v>41</v>
      </c>
      <c r="K33" s="6" t="s">
        <v>44</v>
      </c>
      <c r="N33" s="355"/>
      <c r="O33" s="5" t="s">
        <v>180</v>
      </c>
      <c r="P33" s="6" t="s">
        <v>41</v>
      </c>
      <c r="Q33" s="6" t="s">
        <v>44</v>
      </c>
      <c r="R33" s="5" t="s">
        <v>180</v>
      </c>
      <c r="S33" s="6" t="s">
        <v>41</v>
      </c>
      <c r="T33" s="6" t="s">
        <v>44</v>
      </c>
      <c r="U33" s="5" t="s">
        <v>180</v>
      </c>
      <c r="V33" s="6" t="s">
        <v>41</v>
      </c>
      <c r="W33" s="6" t="s">
        <v>44</v>
      </c>
    </row>
    <row r="34" spans="2:23">
      <c r="B34" s="7" t="s">
        <v>233</v>
      </c>
      <c r="C34" s="8">
        <v>30000000</v>
      </c>
      <c r="D34" s="7">
        <v>11</v>
      </c>
      <c r="E34" s="8">
        <f t="shared" ref="E34:E42" si="12">+C34*D34</f>
        <v>330000000</v>
      </c>
      <c r="F34" s="8">
        <v>31500000</v>
      </c>
      <c r="G34" s="7">
        <v>1</v>
      </c>
      <c r="H34" s="8">
        <f t="shared" ref="H34:H42" si="13">+F34*G34</f>
        <v>31500000</v>
      </c>
      <c r="I34" s="8">
        <v>31000000</v>
      </c>
      <c r="J34" s="7">
        <v>1</v>
      </c>
      <c r="K34" s="8">
        <f t="shared" ref="K34:K42" si="14">+I34*J34</f>
        <v>31000000</v>
      </c>
      <c r="N34" s="7" t="s">
        <v>233</v>
      </c>
      <c r="O34" s="8">
        <v>32000000</v>
      </c>
      <c r="P34" s="7">
        <v>11</v>
      </c>
      <c r="Q34" s="8">
        <f t="shared" ref="Q34:Q42" si="15">+O34*P34</f>
        <v>352000000</v>
      </c>
      <c r="R34" s="8">
        <v>33000000</v>
      </c>
      <c r="S34" s="7">
        <v>1</v>
      </c>
      <c r="T34" s="8">
        <f t="shared" ref="T34:T42" si="16">+R34*S34</f>
        <v>33000000</v>
      </c>
      <c r="U34" s="8">
        <v>32500000</v>
      </c>
      <c r="V34" s="7">
        <v>1</v>
      </c>
      <c r="W34" s="8">
        <f t="shared" ref="W34:W42" si="17">+U34*V34</f>
        <v>32500000</v>
      </c>
    </row>
    <row r="35" spans="2:23">
      <c r="B35" s="7" t="s">
        <v>234</v>
      </c>
      <c r="C35" s="8">
        <v>8794240</v>
      </c>
      <c r="D35" s="7">
        <v>11</v>
      </c>
      <c r="E35" s="8">
        <f t="shared" si="12"/>
        <v>96736640</v>
      </c>
      <c r="F35" s="8">
        <v>12092080</v>
      </c>
      <c r="G35" s="7">
        <v>1</v>
      </c>
      <c r="H35" s="8">
        <f t="shared" si="13"/>
        <v>12092080</v>
      </c>
      <c r="I35" s="8">
        <v>11817260</v>
      </c>
      <c r="J35" s="7">
        <v>1</v>
      </c>
      <c r="K35" s="8">
        <f t="shared" si="14"/>
        <v>11817260</v>
      </c>
      <c r="N35" s="7" t="s">
        <v>234</v>
      </c>
      <c r="O35" s="8">
        <v>7557550</v>
      </c>
      <c r="P35" s="7">
        <v>11</v>
      </c>
      <c r="Q35" s="8">
        <f t="shared" si="15"/>
        <v>83133050</v>
      </c>
      <c r="R35" s="8">
        <v>12092080</v>
      </c>
      <c r="S35" s="7">
        <v>1</v>
      </c>
      <c r="T35" s="8">
        <f t="shared" si="16"/>
        <v>12092080</v>
      </c>
      <c r="U35" s="8">
        <v>11817260</v>
      </c>
      <c r="V35" s="7">
        <v>1</v>
      </c>
      <c r="W35" s="8">
        <f t="shared" si="17"/>
        <v>11817260</v>
      </c>
    </row>
    <row r="36" spans="2:23">
      <c r="B36" s="7" t="s">
        <v>235</v>
      </c>
      <c r="C36" s="8">
        <v>7000</v>
      </c>
      <c r="D36" s="7">
        <v>0</v>
      </c>
      <c r="E36" s="8">
        <f t="shared" si="12"/>
        <v>0</v>
      </c>
      <c r="F36" s="8">
        <v>7000</v>
      </c>
      <c r="G36" s="7"/>
      <c r="H36" s="8">
        <f t="shared" si="13"/>
        <v>0</v>
      </c>
      <c r="I36" s="8">
        <v>7000</v>
      </c>
      <c r="J36" s="7">
        <v>0</v>
      </c>
      <c r="K36" s="8">
        <f t="shared" si="14"/>
        <v>0</v>
      </c>
      <c r="N36" s="7" t="s">
        <v>235</v>
      </c>
      <c r="O36" s="8">
        <v>6000</v>
      </c>
      <c r="P36" s="7">
        <v>0</v>
      </c>
      <c r="Q36" s="8">
        <f t="shared" si="15"/>
        <v>0</v>
      </c>
      <c r="R36" s="8">
        <v>6000</v>
      </c>
      <c r="S36" s="7"/>
      <c r="T36" s="8">
        <f t="shared" si="16"/>
        <v>0</v>
      </c>
      <c r="U36" s="8">
        <v>6000</v>
      </c>
      <c r="V36" s="7">
        <v>0</v>
      </c>
      <c r="W36" s="8">
        <f t="shared" si="17"/>
        <v>0</v>
      </c>
    </row>
    <row r="37" spans="2:23">
      <c r="B37" s="7" t="s">
        <v>236</v>
      </c>
      <c r="C37" s="8">
        <v>80000</v>
      </c>
      <c r="D37" s="7">
        <v>155</v>
      </c>
      <c r="E37" s="8">
        <f t="shared" si="12"/>
        <v>12400000</v>
      </c>
      <c r="F37" s="8">
        <v>80000</v>
      </c>
      <c r="G37" s="7">
        <v>35</v>
      </c>
      <c r="H37" s="8">
        <f t="shared" si="13"/>
        <v>2800000</v>
      </c>
      <c r="I37" s="8">
        <v>80000</v>
      </c>
      <c r="J37" s="7">
        <v>20</v>
      </c>
      <c r="K37" s="8">
        <f t="shared" si="14"/>
        <v>1600000</v>
      </c>
      <c r="N37" s="7" t="s">
        <v>236</v>
      </c>
      <c r="O37" s="8">
        <v>80000</v>
      </c>
      <c r="P37" s="7">
        <v>155</v>
      </c>
      <c r="Q37" s="8">
        <f t="shared" si="15"/>
        <v>12400000</v>
      </c>
      <c r="R37" s="8">
        <v>80000</v>
      </c>
      <c r="S37" s="7">
        <v>35</v>
      </c>
      <c r="T37" s="8">
        <f t="shared" si="16"/>
        <v>2800000</v>
      </c>
      <c r="U37" s="8">
        <v>80000</v>
      </c>
      <c r="V37" s="7">
        <v>20</v>
      </c>
      <c r="W37" s="8">
        <f t="shared" si="17"/>
        <v>1600000</v>
      </c>
    </row>
    <row r="38" spans="2:23">
      <c r="B38" s="7" t="s">
        <v>237</v>
      </c>
      <c r="C38" s="8">
        <v>1500000</v>
      </c>
      <c r="D38" s="7">
        <v>3</v>
      </c>
      <c r="E38" s="8">
        <f t="shared" si="12"/>
        <v>4500000</v>
      </c>
      <c r="F38" s="8">
        <v>1500000</v>
      </c>
      <c r="G38" s="7">
        <v>0.5</v>
      </c>
      <c r="H38" s="8">
        <f t="shared" si="13"/>
        <v>750000</v>
      </c>
      <c r="I38" s="8">
        <v>1500000</v>
      </c>
      <c r="J38" s="7">
        <v>0.3</v>
      </c>
      <c r="K38" s="8">
        <f t="shared" si="14"/>
        <v>450000</v>
      </c>
      <c r="N38" s="7" t="s">
        <v>237</v>
      </c>
      <c r="O38" s="8">
        <v>1500000</v>
      </c>
      <c r="P38" s="7">
        <v>3</v>
      </c>
      <c r="Q38" s="8">
        <f t="shared" si="15"/>
        <v>4500000</v>
      </c>
      <c r="R38" s="8">
        <v>1500000</v>
      </c>
      <c r="S38" s="7">
        <v>0.5</v>
      </c>
      <c r="T38" s="8">
        <f t="shared" si="16"/>
        <v>750000</v>
      </c>
      <c r="U38" s="8">
        <v>1500000</v>
      </c>
      <c r="V38" s="7">
        <v>0.3</v>
      </c>
      <c r="W38" s="8">
        <f t="shared" si="17"/>
        <v>450000</v>
      </c>
    </row>
    <row r="39" spans="2:23">
      <c r="B39" s="7" t="s">
        <v>238</v>
      </c>
      <c r="C39" s="8">
        <v>1000000</v>
      </c>
      <c r="D39" s="7">
        <v>0</v>
      </c>
      <c r="E39" s="8">
        <f t="shared" si="12"/>
        <v>0</v>
      </c>
      <c r="F39" s="8">
        <v>1000000</v>
      </c>
      <c r="G39" s="7">
        <v>0</v>
      </c>
      <c r="H39" s="8">
        <f t="shared" si="13"/>
        <v>0</v>
      </c>
      <c r="I39" s="8">
        <v>1000000</v>
      </c>
      <c r="J39" s="7">
        <v>0</v>
      </c>
      <c r="K39" s="8">
        <f t="shared" si="14"/>
        <v>0</v>
      </c>
      <c r="N39" s="7" t="s">
        <v>238</v>
      </c>
      <c r="O39" s="8">
        <v>1000000</v>
      </c>
      <c r="P39" s="7">
        <v>0</v>
      </c>
      <c r="Q39" s="8">
        <f t="shared" si="15"/>
        <v>0</v>
      </c>
      <c r="R39" s="8">
        <v>1000000</v>
      </c>
      <c r="S39" s="7">
        <v>0</v>
      </c>
      <c r="T39" s="8">
        <f t="shared" si="16"/>
        <v>0</v>
      </c>
      <c r="U39" s="8">
        <v>1000000</v>
      </c>
      <c r="V39" s="7">
        <v>0</v>
      </c>
      <c r="W39" s="8">
        <f t="shared" si="17"/>
        <v>0</v>
      </c>
    </row>
    <row r="40" spans="2:23">
      <c r="B40" s="7" t="s">
        <v>239</v>
      </c>
      <c r="C40" s="8">
        <v>400000</v>
      </c>
      <c r="D40" s="7">
        <v>0</v>
      </c>
      <c r="E40" s="8">
        <f t="shared" si="12"/>
        <v>0</v>
      </c>
      <c r="F40" s="8">
        <v>400000</v>
      </c>
      <c r="G40" s="7">
        <v>0</v>
      </c>
      <c r="H40" s="8">
        <f t="shared" si="13"/>
        <v>0</v>
      </c>
      <c r="I40" s="8">
        <v>400000</v>
      </c>
      <c r="J40" s="7">
        <v>0</v>
      </c>
      <c r="K40" s="8">
        <f t="shared" si="14"/>
        <v>0</v>
      </c>
      <c r="N40" s="7" t="s">
        <v>239</v>
      </c>
      <c r="O40" s="8">
        <v>400000</v>
      </c>
      <c r="P40" s="7">
        <v>0</v>
      </c>
      <c r="Q40" s="8">
        <f t="shared" si="15"/>
        <v>0</v>
      </c>
      <c r="R40" s="8">
        <v>400000</v>
      </c>
      <c r="S40" s="7">
        <v>0</v>
      </c>
      <c r="T40" s="8">
        <f t="shared" si="16"/>
        <v>0</v>
      </c>
      <c r="U40" s="8">
        <v>400000</v>
      </c>
      <c r="V40" s="7">
        <v>0</v>
      </c>
      <c r="W40" s="8">
        <f t="shared" si="17"/>
        <v>0</v>
      </c>
    </row>
    <row r="41" spans="2:23">
      <c r="B41" s="7" t="s">
        <v>240</v>
      </c>
      <c r="C41" s="8">
        <v>500000</v>
      </c>
      <c r="D41" s="7">
        <v>0</v>
      </c>
      <c r="E41" s="8">
        <f t="shared" si="12"/>
        <v>0</v>
      </c>
      <c r="F41" s="8">
        <v>500000</v>
      </c>
      <c r="G41" s="7">
        <v>0</v>
      </c>
      <c r="H41" s="8">
        <f t="shared" si="13"/>
        <v>0</v>
      </c>
      <c r="I41" s="8">
        <v>500000</v>
      </c>
      <c r="J41" s="7">
        <v>0</v>
      </c>
      <c r="K41" s="8">
        <f t="shared" si="14"/>
        <v>0</v>
      </c>
      <c r="N41" s="7" t="s">
        <v>240</v>
      </c>
      <c r="O41" s="8">
        <v>500000</v>
      </c>
      <c r="P41" s="7">
        <v>0</v>
      </c>
      <c r="Q41" s="8">
        <f t="shared" si="15"/>
        <v>0</v>
      </c>
      <c r="R41" s="8">
        <v>500000</v>
      </c>
      <c r="S41" s="7">
        <v>0</v>
      </c>
      <c r="T41" s="8">
        <f t="shared" si="16"/>
        <v>0</v>
      </c>
      <c r="U41" s="8">
        <v>500000</v>
      </c>
      <c r="V41" s="7">
        <v>0</v>
      </c>
      <c r="W41" s="8">
        <f t="shared" si="17"/>
        <v>0</v>
      </c>
    </row>
    <row r="42" spans="2:23">
      <c r="B42" s="7" t="s">
        <v>241</v>
      </c>
      <c r="C42" s="8">
        <v>345375</v>
      </c>
      <c r="D42" s="7">
        <v>0</v>
      </c>
      <c r="E42" s="8">
        <f t="shared" si="12"/>
        <v>0</v>
      </c>
      <c r="F42" s="8">
        <v>345375</v>
      </c>
      <c r="G42" s="7">
        <v>0</v>
      </c>
      <c r="H42" s="13">
        <f t="shared" si="13"/>
        <v>0</v>
      </c>
      <c r="I42" s="8">
        <v>345375</v>
      </c>
      <c r="J42" s="7">
        <v>0</v>
      </c>
      <c r="K42" s="8">
        <f t="shared" si="14"/>
        <v>0</v>
      </c>
      <c r="N42" s="7" t="s">
        <v>241</v>
      </c>
      <c r="O42" s="8">
        <v>345375</v>
      </c>
      <c r="P42" s="7">
        <v>0</v>
      </c>
      <c r="Q42" s="8">
        <f t="shared" si="15"/>
        <v>0</v>
      </c>
      <c r="R42" s="8">
        <v>345375</v>
      </c>
      <c r="S42" s="7">
        <v>0</v>
      </c>
      <c r="T42" s="8">
        <f t="shared" si="16"/>
        <v>0</v>
      </c>
      <c r="U42" s="8">
        <v>345375</v>
      </c>
      <c r="V42" s="7">
        <v>0</v>
      </c>
      <c r="W42" s="8">
        <f t="shared" si="17"/>
        <v>0</v>
      </c>
    </row>
    <row r="43" spans="2:23">
      <c r="B43" s="9"/>
      <c r="C43" s="9"/>
      <c r="D43" s="6" t="s">
        <v>48</v>
      </c>
      <c r="E43" s="10">
        <f>SUM(E34:E42)</f>
        <v>443636640</v>
      </c>
      <c r="F43" s="9"/>
      <c r="G43" s="6" t="s">
        <v>48</v>
      </c>
      <c r="H43" s="10">
        <f>SUM(H34:H42)</f>
        <v>47142080</v>
      </c>
      <c r="I43" s="9"/>
      <c r="J43" s="6" t="s">
        <v>48</v>
      </c>
      <c r="K43" s="10">
        <f>SUM(K34:K42)</f>
        <v>44867260</v>
      </c>
      <c r="N43" s="9"/>
      <c r="O43" s="9"/>
      <c r="P43" s="6" t="s">
        <v>48</v>
      </c>
      <c r="Q43" s="10">
        <f>SUM(Q34:Q42)</f>
        <v>452033050</v>
      </c>
      <c r="R43" s="9"/>
      <c r="S43" s="6" t="s">
        <v>48</v>
      </c>
      <c r="T43" s="15">
        <f>SUM(T34:T42)</f>
        <v>48642080</v>
      </c>
      <c r="U43" s="9"/>
      <c r="V43" s="6" t="s">
        <v>48</v>
      </c>
      <c r="W43" s="10">
        <f>SUM(W34:W42)</f>
        <v>46367260</v>
      </c>
    </row>
    <row r="44" spans="2:23">
      <c r="K44" s="14">
        <f>(E43+H43+K43)/3</f>
        <v>178548660</v>
      </c>
      <c r="W44" s="14">
        <f>(Q43+T43+W43)/3</f>
        <v>182347463.33333334</v>
      </c>
    </row>
    <row r="45" spans="2:23">
      <c r="K45" s="14"/>
      <c r="W45" s="14"/>
    </row>
    <row r="46" spans="2:23">
      <c r="B46" s="354" t="s">
        <v>6</v>
      </c>
      <c r="C46" s="268" t="s">
        <v>10</v>
      </c>
      <c r="D46" s="347"/>
      <c r="E46" s="269"/>
      <c r="F46" s="268" t="s">
        <v>15</v>
      </c>
      <c r="G46" s="347"/>
      <c r="H46" s="269"/>
      <c r="I46" s="268" t="s">
        <v>17</v>
      </c>
      <c r="J46" s="347"/>
      <c r="K46" s="269"/>
      <c r="N46" s="354" t="s">
        <v>6</v>
      </c>
      <c r="O46" s="268" t="s">
        <v>10</v>
      </c>
      <c r="P46" s="347"/>
      <c r="Q46" s="269"/>
      <c r="R46" s="268" t="s">
        <v>15</v>
      </c>
      <c r="S46" s="347"/>
      <c r="T46" s="269"/>
      <c r="U46" s="268" t="s">
        <v>17</v>
      </c>
      <c r="V46" s="347"/>
      <c r="W46" s="269"/>
    </row>
    <row r="47" spans="2:23">
      <c r="B47" s="355"/>
      <c r="C47" s="5" t="s">
        <v>180</v>
      </c>
      <c r="D47" s="6" t="s">
        <v>41</v>
      </c>
      <c r="E47" s="6" t="s">
        <v>44</v>
      </c>
      <c r="F47" s="5" t="s">
        <v>180</v>
      </c>
      <c r="G47" s="6" t="s">
        <v>41</v>
      </c>
      <c r="H47" s="6" t="s">
        <v>44</v>
      </c>
      <c r="I47" s="5" t="s">
        <v>180</v>
      </c>
      <c r="J47" s="6" t="s">
        <v>41</v>
      </c>
      <c r="K47" s="6" t="s">
        <v>44</v>
      </c>
      <c r="N47" s="355"/>
      <c r="O47" s="5" t="s">
        <v>180</v>
      </c>
      <c r="P47" s="6" t="s">
        <v>41</v>
      </c>
      <c r="Q47" s="6" t="s">
        <v>44</v>
      </c>
      <c r="R47" s="5" t="s">
        <v>180</v>
      </c>
      <c r="S47" s="6" t="s">
        <v>41</v>
      </c>
      <c r="T47" s="6" t="s">
        <v>44</v>
      </c>
      <c r="U47" s="5" t="s">
        <v>180</v>
      </c>
      <c r="V47" s="6" t="s">
        <v>41</v>
      </c>
      <c r="W47" s="6" t="s">
        <v>44</v>
      </c>
    </row>
    <row r="48" spans="2:23">
      <c r="B48" s="7" t="s">
        <v>233</v>
      </c>
      <c r="C48" s="8">
        <v>26266677.692307699</v>
      </c>
      <c r="D48" s="7">
        <v>11</v>
      </c>
      <c r="E48" s="8">
        <f t="shared" ref="E48:E56" si="18">+C48*D48</f>
        <v>288933454.6153847</v>
      </c>
      <c r="F48" s="8">
        <v>27919824.545454498</v>
      </c>
      <c r="G48" s="7">
        <v>1</v>
      </c>
      <c r="H48" s="8">
        <f t="shared" ref="H48:H56" si="19">+F48*G48</f>
        <v>27919824.545454498</v>
      </c>
      <c r="I48" s="8">
        <v>27874370</v>
      </c>
      <c r="J48" s="7">
        <v>1</v>
      </c>
      <c r="K48" s="8">
        <f t="shared" ref="K48:K56" si="20">+I48*J48</f>
        <v>27874370</v>
      </c>
      <c r="N48" s="7" t="s">
        <v>233</v>
      </c>
      <c r="O48" s="8">
        <v>26266677.692307699</v>
      </c>
      <c r="P48" s="7">
        <v>11</v>
      </c>
      <c r="Q48" s="8">
        <f t="shared" ref="Q48:Q56" si="21">+O48*P48</f>
        <v>288933454.6153847</v>
      </c>
      <c r="R48" s="8">
        <v>27919824.545454498</v>
      </c>
      <c r="S48" s="7">
        <v>1</v>
      </c>
      <c r="T48" s="8">
        <f t="shared" ref="T48:T56" si="22">+R48*S48</f>
        <v>27919824.545454498</v>
      </c>
      <c r="U48" s="8">
        <v>27874370</v>
      </c>
      <c r="V48" s="7">
        <v>1</v>
      </c>
      <c r="W48" s="8">
        <f t="shared" ref="W48:W56" si="23">+U48*V48</f>
        <v>27874370</v>
      </c>
    </row>
    <row r="49" spans="2:23">
      <c r="B49" s="7" t="s">
        <v>234</v>
      </c>
      <c r="C49" s="8">
        <v>4624146.1538461503</v>
      </c>
      <c r="D49" s="7">
        <v>11</v>
      </c>
      <c r="E49" s="8">
        <f t="shared" si="18"/>
        <v>50865607.692307651</v>
      </c>
      <c r="F49" s="8">
        <v>6351100</v>
      </c>
      <c r="G49" s="7">
        <v>1</v>
      </c>
      <c r="H49" s="8">
        <f t="shared" si="19"/>
        <v>6351100</v>
      </c>
      <c r="I49" s="8">
        <v>6351100</v>
      </c>
      <c r="J49" s="7">
        <v>1</v>
      </c>
      <c r="K49" s="8">
        <f t="shared" si="20"/>
        <v>6351100</v>
      </c>
      <c r="N49" s="7" t="s">
        <v>234</v>
      </c>
      <c r="O49" s="8">
        <v>4624146.1538461503</v>
      </c>
      <c r="P49" s="7">
        <v>11</v>
      </c>
      <c r="Q49" s="8">
        <f t="shared" si="21"/>
        <v>50865607.692307651</v>
      </c>
      <c r="R49" s="8">
        <v>6351100</v>
      </c>
      <c r="S49" s="7">
        <v>1</v>
      </c>
      <c r="T49" s="8">
        <f t="shared" si="22"/>
        <v>6351100</v>
      </c>
      <c r="U49" s="8">
        <v>6351100</v>
      </c>
      <c r="V49" s="7">
        <v>1</v>
      </c>
      <c r="W49" s="8">
        <f t="shared" si="23"/>
        <v>6351100</v>
      </c>
    </row>
    <row r="50" spans="2:23">
      <c r="B50" s="7" t="s">
        <v>235</v>
      </c>
      <c r="C50" s="8">
        <v>7000</v>
      </c>
      <c r="D50" s="7">
        <v>0</v>
      </c>
      <c r="E50" s="8">
        <f t="shared" si="18"/>
        <v>0</v>
      </c>
      <c r="F50" s="8">
        <v>7000</v>
      </c>
      <c r="G50" s="7"/>
      <c r="H50" s="8">
        <f t="shared" si="19"/>
        <v>0</v>
      </c>
      <c r="I50" s="8">
        <v>7000</v>
      </c>
      <c r="J50" s="7">
        <v>0</v>
      </c>
      <c r="K50" s="8">
        <f t="shared" si="20"/>
        <v>0</v>
      </c>
      <c r="N50" s="7" t="s">
        <v>235</v>
      </c>
      <c r="O50" s="8">
        <v>7000</v>
      </c>
      <c r="P50" s="7">
        <v>0</v>
      </c>
      <c r="Q50" s="8">
        <f t="shared" si="21"/>
        <v>0</v>
      </c>
      <c r="R50" s="8">
        <v>7000</v>
      </c>
      <c r="S50" s="7"/>
      <c r="T50" s="8">
        <f t="shared" si="22"/>
        <v>0</v>
      </c>
      <c r="U50" s="8">
        <v>7000</v>
      </c>
      <c r="V50" s="7">
        <v>0</v>
      </c>
      <c r="W50" s="8">
        <f t="shared" si="23"/>
        <v>0</v>
      </c>
    </row>
    <row r="51" spans="2:23">
      <c r="B51" s="7" t="s">
        <v>236</v>
      </c>
      <c r="C51" s="8">
        <v>70000</v>
      </c>
      <c r="D51" s="7">
        <v>155</v>
      </c>
      <c r="E51" s="8">
        <f t="shared" si="18"/>
        <v>10850000</v>
      </c>
      <c r="F51" s="8">
        <v>70000</v>
      </c>
      <c r="G51" s="7">
        <v>35</v>
      </c>
      <c r="H51" s="8">
        <f t="shared" si="19"/>
        <v>2450000</v>
      </c>
      <c r="I51" s="8">
        <v>70000</v>
      </c>
      <c r="J51" s="7">
        <v>20</v>
      </c>
      <c r="K51" s="8">
        <f t="shared" si="20"/>
        <v>1400000</v>
      </c>
      <c r="N51" s="7" t="s">
        <v>236</v>
      </c>
      <c r="O51" s="8">
        <v>70000</v>
      </c>
      <c r="P51" s="7">
        <v>155</v>
      </c>
      <c r="Q51" s="8">
        <f t="shared" si="21"/>
        <v>10850000</v>
      </c>
      <c r="R51" s="8">
        <v>70000</v>
      </c>
      <c r="S51" s="7">
        <v>35</v>
      </c>
      <c r="T51" s="8">
        <f t="shared" si="22"/>
        <v>2450000</v>
      </c>
      <c r="U51" s="8">
        <v>70000</v>
      </c>
      <c r="V51" s="7">
        <v>20</v>
      </c>
      <c r="W51" s="8">
        <f t="shared" si="23"/>
        <v>1400000</v>
      </c>
    </row>
    <row r="52" spans="2:23">
      <c r="B52" s="7" t="s">
        <v>237</v>
      </c>
      <c r="C52" s="8">
        <v>1300000</v>
      </c>
      <c r="D52" s="7">
        <v>3</v>
      </c>
      <c r="E52" s="8">
        <f t="shared" si="18"/>
        <v>3900000</v>
      </c>
      <c r="F52" s="8">
        <v>1300000</v>
      </c>
      <c r="G52" s="7">
        <v>0.5</v>
      </c>
      <c r="H52" s="8">
        <f t="shared" si="19"/>
        <v>650000</v>
      </c>
      <c r="I52" s="8">
        <v>1300000</v>
      </c>
      <c r="J52" s="7">
        <v>0.3</v>
      </c>
      <c r="K52" s="8">
        <f t="shared" si="20"/>
        <v>390000</v>
      </c>
      <c r="N52" s="7" t="s">
        <v>237</v>
      </c>
      <c r="O52" s="8">
        <v>1300000</v>
      </c>
      <c r="P52" s="7">
        <v>3</v>
      </c>
      <c r="Q52" s="8">
        <f t="shared" si="21"/>
        <v>3900000</v>
      </c>
      <c r="R52" s="8">
        <v>1300000</v>
      </c>
      <c r="S52" s="7">
        <v>0.5</v>
      </c>
      <c r="T52" s="8">
        <f t="shared" si="22"/>
        <v>650000</v>
      </c>
      <c r="U52" s="8">
        <v>1300000</v>
      </c>
      <c r="V52" s="7">
        <v>0.3</v>
      </c>
      <c r="W52" s="8">
        <f t="shared" si="23"/>
        <v>390000</v>
      </c>
    </row>
    <row r="53" spans="2:23">
      <c r="B53" s="7" t="s">
        <v>238</v>
      </c>
      <c r="C53" s="8">
        <v>975000</v>
      </c>
      <c r="D53" s="7">
        <v>0</v>
      </c>
      <c r="E53" s="8">
        <f t="shared" si="18"/>
        <v>0</v>
      </c>
      <c r="F53" s="8">
        <v>975000</v>
      </c>
      <c r="G53" s="7">
        <v>0</v>
      </c>
      <c r="H53" s="8">
        <f t="shared" si="19"/>
        <v>0</v>
      </c>
      <c r="I53" s="8">
        <v>975000</v>
      </c>
      <c r="J53" s="7">
        <v>0</v>
      </c>
      <c r="K53" s="8">
        <f t="shared" si="20"/>
        <v>0</v>
      </c>
      <c r="N53" s="7" t="s">
        <v>238</v>
      </c>
      <c r="O53" s="8">
        <v>975000</v>
      </c>
      <c r="P53" s="7">
        <v>0</v>
      </c>
      <c r="Q53" s="8">
        <f t="shared" si="21"/>
        <v>0</v>
      </c>
      <c r="R53" s="8">
        <v>975000</v>
      </c>
      <c r="S53" s="7">
        <v>0</v>
      </c>
      <c r="T53" s="8">
        <f t="shared" si="22"/>
        <v>0</v>
      </c>
      <c r="U53" s="8">
        <v>975000</v>
      </c>
      <c r="V53" s="7">
        <v>0</v>
      </c>
      <c r="W53" s="8">
        <f t="shared" si="23"/>
        <v>0</v>
      </c>
    </row>
    <row r="54" spans="2:23">
      <c r="B54" s="7" t="s">
        <v>239</v>
      </c>
      <c r="C54" s="8">
        <v>300000</v>
      </c>
      <c r="D54" s="7">
        <v>0</v>
      </c>
      <c r="E54" s="8">
        <f t="shared" si="18"/>
        <v>0</v>
      </c>
      <c r="F54" s="8">
        <v>300000</v>
      </c>
      <c r="G54" s="7">
        <v>0</v>
      </c>
      <c r="H54" s="8">
        <f t="shared" si="19"/>
        <v>0</v>
      </c>
      <c r="I54" s="8">
        <v>300000</v>
      </c>
      <c r="J54" s="7">
        <v>0</v>
      </c>
      <c r="K54" s="8">
        <f t="shared" si="20"/>
        <v>0</v>
      </c>
      <c r="N54" s="7" t="s">
        <v>239</v>
      </c>
      <c r="O54" s="8">
        <v>300000</v>
      </c>
      <c r="P54" s="7">
        <v>0</v>
      </c>
      <c r="Q54" s="8">
        <f t="shared" si="21"/>
        <v>0</v>
      </c>
      <c r="R54" s="8">
        <v>300000</v>
      </c>
      <c r="S54" s="7">
        <v>0</v>
      </c>
      <c r="T54" s="8">
        <f t="shared" si="22"/>
        <v>0</v>
      </c>
      <c r="U54" s="8">
        <v>300000</v>
      </c>
      <c r="V54" s="7">
        <v>0</v>
      </c>
      <c r="W54" s="8">
        <f t="shared" si="23"/>
        <v>0</v>
      </c>
    </row>
    <row r="55" spans="2:23">
      <c r="B55" s="7" t="s">
        <v>240</v>
      </c>
      <c r="C55" s="8">
        <v>200000</v>
      </c>
      <c r="D55" s="7">
        <v>0</v>
      </c>
      <c r="E55" s="8">
        <f t="shared" si="18"/>
        <v>0</v>
      </c>
      <c r="F55" s="8">
        <v>200000</v>
      </c>
      <c r="G55" s="7">
        <v>0</v>
      </c>
      <c r="H55" s="8">
        <f t="shared" si="19"/>
        <v>0</v>
      </c>
      <c r="I55" s="8">
        <v>200000</v>
      </c>
      <c r="J55" s="7">
        <v>0</v>
      </c>
      <c r="K55" s="8">
        <f t="shared" si="20"/>
        <v>0</v>
      </c>
      <c r="N55" s="7" t="s">
        <v>240</v>
      </c>
      <c r="O55" s="8">
        <v>200000</v>
      </c>
      <c r="P55" s="7">
        <v>0</v>
      </c>
      <c r="Q55" s="8">
        <f t="shared" si="21"/>
        <v>0</v>
      </c>
      <c r="R55" s="8">
        <v>200000</v>
      </c>
      <c r="S55" s="7">
        <v>0</v>
      </c>
      <c r="T55" s="8">
        <f t="shared" si="22"/>
        <v>0</v>
      </c>
      <c r="U55" s="8">
        <v>200000</v>
      </c>
      <c r="V55" s="7">
        <v>0</v>
      </c>
      <c r="W55" s="8">
        <f t="shared" si="23"/>
        <v>0</v>
      </c>
    </row>
    <row r="56" spans="2:23">
      <c r="B56" s="7" t="s">
        <v>241</v>
      </c>
      <c r="C56" s="8">
        <v>147700</v>
      </c>
      <c r="D56" s="7">
        <v>0</v>
      </c>
      <c r="E56" s="8">
        <f t="shared" si="18"/>
        <v>0</v>
      </c>
      <c r="F56" s="8">
        <v>147700</v>
      </c>
      <c r="G56" s="7">
        <v>0</v>
      </c>
      <c r="H56" s="8">
        <f t="shared" si="19"/>
        <v>0</v>
      </c>
      <c r="I56" s="8">
        <v>147700</v>
      </c>
      <c r="J56" s="7">
        <v>0</v>
      </c>
      <c r="K56" s="8">
        <f t="shared" si="20"/>
        <v>0</v>
      </c>
      <c r="N56" s="7" t="s">
        <v>241</v>
      </c>
      <c r="O56" s="8">
        <v>147700</v>
      </c>
      <c r="P56" s="7">
        <v>0</v>
      </c>
      <c r="Q56" s="8">
        <f t="shared" si="21"/>
        <v>0</v>
      </c>
      <c r="R56" s="8">
        <v>147700</v>
      </c>
      <c r="S56" s="7">
        <v>0</v>
      </c>
      <c r="T56" s="8">
        <f t="shared" si="22"/>
        <v>0</v>
      </c>
      <c r="U56" s="8">
        <v>147700</v>
      </c>
      <c r="V56" s="7">
        <v>0</v>
      </c>
      <c r="W56" s="8">
        <f t="shared" si="23"/>
        <v>0</v>
      </c>
    </row>
    <row r="57" spans="2:23">
      <c r="B57" s="9"/>
      <c r="C57" s="9"/>
      <c r="D57" s="6" t="s">
        <v>48</v>
      </c>
      <c r="E57" s="10">
        <f>SUM(E48:E56)</f>
        <v>354549062.30769235</v>
      </c>
      <c r="F57" s="9"/>
      <c r="G57" s="6" t="s">
        <v>48</v>
      </c>
      <c r="H57" s="17">
        <f>SUM(H48:H56)</f>
        <v>37370924.545454502</v>
      </c>
      <c r="I57" s="9"/>
      <c r="J57" s="6" t="s">
        <v>48</v>
      </c>
      <c r="K57" s="10">
        <f>SUM(K48:K56)</f>
        <v>36015470</v>
      </c>
      <c r="N57" s="9"/>
      <c r="O57" s="9"/>
      <c r="P57" s="6" t="s">
        <v>48</v>
      </c>
      <c r="Q57" s="10">
        <f>SUM(Q48:Q56)</f>
        <v>354549062.30769235</v>
      </c>
      <c r="R57" s="9"/>
      <c r="S57" s="6" t="s">
        <v>48</v>
      </c>
      <c r="T57" s="15">
        <f>SUM(T48:T56)</f>
        <v>37370924.545454502</v>
      </c>
      <c r="U57" s="9"/>
      <c r="V57" s="6" t="s">
        <v>48</v>
      </c>
      <c r="W57" s="10">
        <f>SUM(W48:W56)</f>
        <v>36015470</v>
      </c>
    </row>
    <row r="58" spans="2:23">
      <c r="K58" s="14">
        <f>(E57+H57+K57)/3</f>
        <v>142645152.28438228</v>
      </c>
      <c r="W58" s="14">
        <f>(Q57+T57+W57)/3</f>
        <v>142645152.28438228</v>
      </c>
    </row>
    <row r="61" spans="2:23">
      <c r="B61" s="354" t="s">
        <v>7</v>
      </c>
      <c r="C61" s="268" t="s">
        <v>10</v>
      </c>
      <c r="D61" s="347"/>
      <c r="E61" s="269"/>
      <c r="F61" s="268" t="s">
        <v>15</v>
      </c>
      <c r="G61" s="347"/>
      <c r="H61" s="269"/>
      <c r="I61" s="268" t="s">
        <v>17</v>
      </c>
      <c r="J61" s="347"/>
      <c r="K61" s="269"/>
      <c r="N61" s="354" t="s">
        <v>7</v>
      </c>
      <c r="O61" s="268" t="s">
        <v>10</v>
      </c>
      <c r="P61" s="347"/>
      <c r="Q61" s="269"/>
      <c r="R61" s="268" t="s">
        <v>15</v>
      </c>
      <c r="S61" s="347"/>
      <c r="T61" s="269"/>
      <c r="U61" s="268" t="s">
        <v>17</v>
      </c>
      <c r="V61" s="347"/>
      <c r="W61" s="269"/>
    </row>
    <row r="62" spans="2:23">
      <c r="B62" s="355"/>
      <c r="C62" s="5" t="s">
        <v>180</v>
      </c>
      <c r="D62" s="6" t="s">
        <v>41</v>
      </c>
      <c r="E62" s="6" t="s">
        <v>44</v>
      </c>
      <c r="F62" s="5" t="s">
        <v>180</v>
      </c>
      <c r="G62" s="6" t="s">
        <v>41</v>
      </c>
      <c r="H62" s="6" t="s">
        <v>44</v>
      </c>
      <c r="I62" s="5" t="s">
        <v>180</v>
      </c>
      <c r="J62" s="6" t="s">
        <v>41</v>
      </c>
      <c r="K62" s="6" t="s">
        <v>44</v>
      </c>
      <c r="N62" s="355"/>
      <c r="O62" s="5" t="s">
        <v>180</v>
      </c>
      <c r="P62" s="6" t="s">
        <v>41</v>
      </c>
      <c r="Q62" s="6" t="s">
        <v>44</v>
      </c>
      <c r="R62" s="5" t="s">
        <v>180</v>
      </c>
      <c r="S62" s="6" t="s">
        <v>41</v>
      </c>
      <c r="T62" s="6" t="s">
        <v>44</v>
      </c>
      <c r="U62" s="5" t="s">
        <v>180</v>
      </c>
      <c r="V62" s="6" t="s">
        <v>41</v>
      </c>
      <c r="W62" s="6" t="s">
        <v>44</v>
      </c>
    </row>
    <row r="63" spans="2:23">
      <c r="B63" s="7" t="s">
        <v>233</v>
      </c>
      <c r="C63" s="8">
        <v>32766626</v>
      </c>
      <c r="D63" s="7">
        <v>11</v>
      </c>
      <c r="E63" s="8">
        <f t="shared" ref="E63:E71" si="24">+C63*D63</f>
        <v>360432886</v>
      </c>
      <c r="F63" s="8">
        <v>33085209.5</v>
      </c>
      <c r="G63" s="7">
        <v>1</v>
      </c>
      <c r="H63" s="8">
        <f t="shared" ref="H63:H71" si="25">+F63*G63</f>
        <v>33085209.5</v>
      </c>
      <c r="I63" s="8">
        <v>32950053</v>
      </c>
      <c r="J63" s="7">
        <v>1</v>
      </c>
      <c r="K63" s="8">
        <f t="shared" ref="K63:K71" si="26">+I63*J63</f>
        <v>32950053</v>
      </c>
      <c r="N63" s="7" t="s">
        <v>233</v>
      </c>
      <c r="O63" s="8"/>
      <c r="P63" s="7">
        <v>11</v>
      </c>
      <c r="Q63" s="8">
        <f t="shared" ref="Q63:Q71" si="27">+O63*P63</f>
        <v>0</v>
      </c>
      <c r="R63" s="8"/>
      <c r="S63" s="7">
        <v>1</v>
      </c>
      <c r="T63" s="8">
        <f t="shared" ref="T63:T71" si="28">+R63*S63</f>
        <v>0</v>
      </c>
      <c r="U63" s="8"/>
      <c r="V63" s="7">
        <v>1</v>
      </c>
      <c r="W63" s="8">
        <f t="shared" ref="W63:W71" si="29">+U63*V63</f>
        <v>0</v>
      </c>
    </row>
    <row r="64" spans="2:23">
      <c r="B64" s="7" t="s">
        <v>234</v>
      </c>
      <c r="C64" s="8">
        <v>3655575</v>
      </c>
      <c r="D64" s="7">
        <v>11</v>
      </c>
      <c r="E64" s="8">
        <f t="shared" si="24"/>
        <v>40211325</v>
      </c>
      <c r="F64" s="8">
        <v>5848920</v>
      </c>
      <c r="G64" s="7">
        <v>1</v>
      </c>
      <c r="H64" s="8">
        <f t="shared" si="25"/>
        <v>5848920</v>
      </c>
      <c r="I64" s="8">
        <v>4918410</v>
      </c>
      <c r="J64" s="7">
        <v>1</v>
      </c>
      <c r="K64" s="8">
        <f t="shared" si="26"/>
        <v>4918410</v>
      </c>
      <c r="N64" s="7" t="s">
        <v>234</v>
      </c>
      <c r="O64" s="8"/>
      <c r="P64" s="7">
        <v>11</v>
      </c>
      <c r="Q64" s="8">
        <f t="shared" si="27"/>
        <v>0</v>
      </c>
      <c r="R64" s="8"/>
      <c r="S64" s="7">
        <v>1</v>
      </c>
      <c r="T64" s="8">
        <f t="shared" si="28"/>
        <v>0</v>
      </c>
      <c r="U64" s="8"/>
      <c r="V64" s="7">
        <v>1</v>
      </c>
      <c r="W64" s="8">
        <f t="shared" si="29"/>
        <v>0</v>
      </c>
    </row>
    <row r="65" spans="2:23">
      <c r="B65" s="7" t="s">
        <v>235</v>
      </c>
      <c r="C65" s="8">
        <v>7000</v>
      </c>
      <c r="D65" s="7">
        <v>0</v>
      </c>
      <c r="E65" s="8">
        <f t="shared" si="24"/>
        <v>0</v>
      </c>
      <c r="F65" s="8">
        <v>7000</v>
      </c>
      <c r="G65" s="7"/>
      <c r="H65" s="8">
        <f t="shared" si="25"/>
        <v>0</v>
      </c>
      <c r="I65" s="8">
        <v>7000</v>
      </c>
      <c r="J65" s="7">
        <v>0</v>
      </c>
      <c r="K65" s="8">
        <f t="shared" si="26"/>
        <v>0</v>
      </c>
      <c r="N65" s="7" t="s">
        <v>235</v>
      </c>
      <c r="O65" s="8">
        <v>6000</v>
      </c>
      <c r="P65" s="7">
        <v>0</v>
      </c>
      <c r="Q65" s="8">
        <f t="shared" si="27"/>
        <v>0</v>
      </c>
      <c r="R65" s="8">
        <v>6000</v>
      </c>
      <c r="S65" s="7"/>
      <c r="T65" s="8">
        <f t="shared" si="28"/>
        <v>0</v>
      </c>
      <c r="U65" s="8">
        <v>6000</v>
      </c>
      <c r="V65" s="7">
        <v>0</v>
      </c>
      <c r="W65" s="8">
        <f t="shared" si="29"/>
        <v>0</v>
      </c>
    </row>
    <row r="66" spans="2:23">
      <c r="B66" s="7" t="s">
        <v>236</v>
      </c>
      <c r="C66" s="8">
        <v>55000</v>
      </c>
      <c r="D66" s="7">
        <v>155</v>
      </c>
      <c r="E66" s="8">
        <f t="shared" si="24"/>
        <v>8525000</v>
      </c>
      <c r="F66" s="8">
        <v>55000</v>
      </c>
      <c r="G66" s="7">
        <v>35</v>
      </c>
      <c r="H66" s="8">
        <f t="shared" si="25"/>
        <v>1925000</v>
      </c>
      <c r="I66" s="8">
        <v>55000</v>
      </c>
      <c r="J66" s="7">
        <v>20</v>
      </c>
      <c r="K66" s="8">
        <f t="shared" si="26"/>
        <v>1100000</v>
      </c>
      <c r="N66" s="7" t="s">
        <v>236</v>
      </c>
      <c r="O66" s="8">
        <v>55000</v>
      </c>
      <c r="P66" s="7">
        <v>155</v>
      </c>
      <c r="Q66" s="8">
        <f t="shared" si="27"/>
        <v>8525000</v>
      </c>
      <c r="R66" s="8">
        <v>55000</v>
      </c>
      <c r="S66" s="7">
        <v>35</v>
      </c>
      <c r="T66" s="8">
        <f t="shared" si="28"/>
        <v>1925000</v>
      </c>
      <c r="U66" s="8">
        <v>55000</v>
      </c>
      <c r="V66" s="7">
        <v>20</v>
      </c>
      <c r="W66" s="8">
        <f t="shared" si="29"/>
        <v>1100000</v>
      </c>
    </row>
    <row r="67" spans="2:23">
      <c r="B67" s="7" t="s">
        <v>237</v>
      </c>
      <c r="C67" s="8">
        <v>1300000</v>
      </c>
      <c r="D67" s="7">
        <v>3</v>
      </c>
      <c r="E67" s="8">
        <f t="shared" si="24"/>
        <v>3900000</v>
      </c>
      <c r="F67" s="8">
        <v>1300000</v>
      </c>
      <c r="G67" s="7">
        <v>0.5</v>
      </c>
      <c r="H67" s="8">
        <f t="shared" si="25"/>
        <v>650000</v>
      </c>
      <c r="I67" s="8">
        <v>1300000</v>
      </c>
      <c r="J67" s="7">
        <v>0.3</v>
      </c>
      <c r="K67" s="8">
        <f t="shared" si="26"/>
        <v>390000</v>
      </c>
      <c r="N67" s="7" t="s">
        <v>237</v>
      </c>
      <c r="O67" s="8">
        <v>1150000</v>
      </c>
      <c r="P67" s="7">
        <v>3</v>
      </c>
      <c r="Q67" s="8">
        <f t="shared" si="27"/>
        <v>3450000</v>
      </c>
      <c r="R67" s="8">
        <v>1150000</v>
      </c>
      <c r="S67" s="7">
        <v>0.5</v>
      </c>
      <c r="T67" s="8">
        <f t="shared" si="28"/>
        <v>575000</v>
      </c>
      <c r="U67" s="8">
        <v>1150000</v>
      </c>
      <c r="V67" s="7">
        <v>0.3</v>
      </c>
      <c r="W67" s="8">
        <f t="shared" si="29"/>
        <v>345000</v>
      </c>
    </row>
    <row r="68" spans="2:23">
      <c r="B68" s="7" t="s">
        <v>238</v>
      </c>
      <c r="C68" s="8">
        <v>950000</v>
      </c>
      <c r="D68" s="7">
        <v>0</v>
      </c>
      <c r="E68" s="8">
        <f t="shared" si="24"/>
        <v>0</v>
      </c>
      <c r="F68" s="8">
        <v>950000</v>
      </c>
      <c r="G68" s="7">
        <v>0</v>
      </c>
      <c r="H68" s="8">
        <f t="shared" si="25"/>
        <v>0</v>
      </c>
      <c r="I68" s="8">
        <v>950000</v>
      </c>
      <c r="J68" s="7">
        <v>0</v>
      </c>
      <c r="K68" s="8">
        <f t="shared" si="26"/>
        <v>0</v>
      </c>
      <c r="N68" s="7" t="s">
        <v>238</v>
      </c>
      <c r="O68" s="8">
        <v>900000</v>
      </c>
      <c r="P68" s="7">
        <v>0</v>
      </c>
      <c r="Q68" s="8">
        <f t="shared" si="27"/>
        <v>0</v>
      </c>
      <c r="R68" s="8">
        <v>900000</v>
      </c>
      <c r="S68" s="7">
        <v>0</v>
      </c>
      <c r="T68" s="8">
        <f t="shared" si="28"/>
        <v>0</v>
      </c>
      <c r="U68" s="8">
        <v>900000</v>
      </c>
      <c r="V68" s="7">
        <v>0</v>
      </c>
      <c r="W68" s="8">
        <f t="shared" si="29"/>
        <v>0</v>
      </c>
    </row>
    <row r="69" spans="2:23">
      <c r="B69" s="7" t="s">
        <v>239</v>
      </c>
      <c r="C69" s="8">
        <v>300000</v>
      </c>
      <c r="D69" s="7">
        <v>0</v>
      </c>
      <c r="E69" s="8">
        <f t="shared" si="24"/>
        <v>0</v>
      </c>
      <c r="F69" s="8">
        <v>300000</v>
      </c>
      <c r="G69" s="7">
        <v>0</v>
      </c>
      <c r="H69" s="8">
        <f t="shared" si="25"/>
        <v>0</v>
      </c>
      <c r="I69" s="8">
        <v>300000</v>
      </c>
      <c r="J69" s="7">
        <v>0</v>
      </c>
      <c r="K69" s="8">
        <f t="shared" si="26"/>
        <v>0</v>
      </c>
      <c r="N69" s="7" t="s">
        <v>239</v>
      </c>
      <c r="O69" s="8">
        <v>300000</v>
      </c>
      <c r="P69" s="7">
        <v>0</v>
      </c>
      <c r="Q69" s="8">
        <f t="shared" si="27"/>
        <v>0</v>
      </c>
      <c r="R69" s="8">
        <v>300000</v>
      </c>
      <c r="S69" s="7">
        <v>0</v>
      </c>
      <c r="T69" s="8">
        <f t="shared" si="28"/>
        <v>0</v>
      </c>
      <c r="U69" s="8">
        <v>300000</v>
      </c>
      <c r="V69" s="7">
        <v>0</v>
      </c>
      <c r="W69" s="8">
        <f t="shared" si="29"/>
        <v>0</v>
      </c>
    </row>
    <row r="70" spans="2:23">
      <c r="B70" s="7" t="s">
        <v>240</v>
      </c>
      <c r="C70" s="8">
        <v>500000</v>
      </c>
      <c r="D70" s="7">
        <v>0</v>
      </c>
      <c r="E70" s="8">
        <f t="shared" si="24"/>
        <v>0</v>
      </c>
      <c r="F70" s="8">
        <v>500000</v>
      </c>
      <c r="G70" s="7">
        <v>0</v>
      </c>
      <c r="H70" s="8">
        <f t="shared" si="25"/>
        <v>0</v>
      </c>
      <c r="I70" s="8">
        <v>500000</v>
      </c>
      <c r="J70" s="7">
        <v>0</v>
      </c>
      <c r="K70" s="8">
        <f t="shared" si="26"/>
        <v>0</v>
      </c>
      <c r="N70" s="7" t="s">
        <v>240</v>
      </c>
      <c r="O70" s="8">
        <v>500000</v>
      </c>
      <c r="P70" s="7">
        <v>0</v>
      </c>
      <c r="Q70" s="8">
        <f t="shared" si="27"/>
        <v>0</v>
      </c>
      <c r="R70" s="8">
        <v>500000</v>
      </c>
      <c r="S70" s="7">
        <v>0</v>
      </c>
      <c r="T70" s="8">
        <f t="shared" si="28"/>
        <v>0</v>
      </c>
      <c r="U70" s="8">
        <v>500000</v>
      </c>
      <c r="V70" s="7">
        <v>0</v>
      </c>
      <c r="W70" s="8">
        <f t="shared" si="29"/>
        <v>0</v>
      </c>
    </row>
    <row r="71" spans="2:23">
      <c r="B71" s="7" t="s">
        <v>241</v>
      </c>
      <c r="C71" s="8">
        <v>560000</v>
      </c>
      <c r="D71" s="7">
        <v>0</v>
      </c>
      <c r="E71" s="8">
        <f t="shared" si="24"/>
        <v>0</v>
      </c>
      <c r="F71" s="8">
        <v>560000</v>
      </c>
      <c r="G71" s="7">
        <v>0</v>
      </c>
      <c r="H71" s="8">
        <f t="shared" si="25"/>
        <v>0</v>
      </c>
      <c r="I71" s="8">
        <v>560000</v>
      </c>
      <c r="J71" s="7">
        <v>0</v>
      </c>
      <c r="K71" s="8">
        <f t="shared" si="26"/>
        <v>0</v>
      </c>
      <c r="N71" s="7" t="s">
        <v>241</v>
      </c>
      <c r="O71" s="8">
        <v>480000</v>
      </c>
      <c r="P71" s="7">
        <v>0</v>
      </c>
      <c r="Q71" s="8">
        <f t="shared" si="27"/>
        <v>0</v>
      </c>
      <c r="R71" s="8">
        <v>480000</v>
      </c>
      <c r="S71" s="7">
        <v>0</v>
      </c>
      <c r="T71" s="8">
        <f t="shared" si="28"/>
        <v>0</v>
      </c>
      <c r="U71" s="8">
        <v>480000</v>
      </c>
      <c r="V71" s="7">
        <v>0</v>
      </c>
      <c r="W71" s="8">
        <f t="shared" si="29"/>
        <v>0</v>
      </c>
    </row>
    <row r="72" spans="2:23">
      <c r="B72" s="9"/>
      <c r="C72" s="9"/>
      <c r="D72" s="6" t="s">
        <v>48</v>
      </c>
      <c r="E72" s="10">
        <f>SUM(E63:E71)</f>
        <v>413069211</v>
      </c>
      <c r="F72" s="10"/>
      <c r="G72" s="6" t="s">
        <v>48</v>
      </c>
      <c r="H72" s="10">
        <f>SUM(H63:H71)</f>
        <v>41509129.5</v>
      </c>
      <c r="I72" s="10"/>
      <c r="J72" s="6" t="s">
        <v>48</v>
      </c>
      <c r="K72" s="10">
        <f>SUM(K63:K71)</f>
        <v>39358463</v>
      </c>
      <c r="N72" s="9"/>
      <c r="O72" s="9"/>
      <c r="P72" s="6" t="s">
        <v>48</v>
      </c>
      <c r="Q72" s="10">
        <f>SUM(Q63:Q71)</f>
        <v>11975000</v>
      </c>
      <c r="R72" s="9"/>
      <c r="S72" s="6" t="s">
        <v>48</v>
      </c>
      <c r="T72" s="15">
        <f>SUM(T63:T71)</f>
        <v>2500000</v>
      </c>
      <c r="U72" s="9"/>
      <c r="V72" s="6" t="s">
        <v>48</v>
      </c>
      <c r="W72" s="10">
        <f>SUM(W63:W71)</f>
        <v>1445000</v>
      </c>
    </row>
    <row r="73" spans="2:23">
      <c r="K73" s="14">
        <f>(E72+H72+K72)/3</f>
        <v>164645601.16666666</v>
      </c>
      <c r="W73" s="14">
        <f>(Q72+T72+W72)/3</f>
        <v>5306666.666666667</v>
      </c>
    </row>
  </sheetData>
  <mergeCells count="40">
    <mergeCell ref="U61:W61"/>
    <mergeCell ref="B3:B4"/>
    <mergeCell ref="B17:B18"/>
    <mergeCell ref="B32:B33"/>
    <mergeCell ref="B46:B47"/>
    <mergeCell ref="B61:B62"/>
    <mergeCell ref="N3:N4"/>
    <mergeCell ref="N17:N18"/>
    <mergeCell ref="N32:N33"/>
    <mergeCell ref="N46:N47"/>
    <mergeCell ref="N61:N62"/>
    <mergeCell ref="C61:E61"/>
    <mergeCell ref="F61:H61"/>
    <mergeCell ref="I61:K61"/>
    <mergeCell ref="O61:Q61"/>
    <mergeCell ref="R61:T61"/>
    <mergeCell ref="U32:W32"/>
    <mergeCell ref="C46:E46"/>
    <mergeCell ref="F46:H46"/>
    <mergeCell ref="I46:K46"/>
    <mergeCell ref="O46:Q46"/>
    <mergeCell ref="R46:T46"/>
    <mergeCell ref="U46:W46"/>
    <mergeCell ref="C32:E32"/>
    <mergeCell ref="F32:H32"/>
    <mergeCell ref="I32:K32"/>
    <mergeCell ref="O32:Q32"/>
    <mergeCell ref="R32:T32"/>
    <mergeCell ref="U3:W3"/>
    <mergeCell ref="C17:E17"/>
    <mergeCell ref="F17:H17"/>
    <mergeCell ref="I17:K17"/>
    <mergeCell ref="O17:Q17"/>
    <mergeCell ref="R17:T17"/>
    <mergeCell ref="U17:W17"/>
    <mergeCell ref="C3:E3"/>
    <mergeCell ref="F3:H3"/>
    <mergeCell ref="I3:K3"/>
    <mergeCell ref="O3:Q3"/>
    <mergeCell ref="R3:T3"/>
  </mergeCells>
  <pageMargins left="0.7" right="0.7" top="0.75" bottom="0.75" header="0.3" footer="0.3"/>
  <pageSetup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C83"/>
  <sheetViews>
    <sheetView showGridLines="0" topLeftCell="A13" zoomScale="85" zoomScaleNormal="85" workbookViewId="0">
      <selection activeCell="A32" sqref="A32"/>
    </sheetView>
  </sheetViews>
  <sheetFormatPr defaultColWidth="9" defaultRowHeight="15"/>
  <cols>
    <col min="2" max="2" width="22.85546875" customWidth="1"/>
    <col min="3" max="3" width="14.5703125" customWidth="1"/>
    <col min="4" max="4" width="8.85546875" customWidth="1"/>
    <col min="5" max="5" width="15.7109375" customWidth="1"/>
    <col min="6" max="6" width="14.5703125" customWidth="1"/>
    <col min="7" max="7" width="8" customWidth="1"/>
    <col min="8" max="8" width="15.7109375" customWidth="1"/>
    <col min="9" max="9" width="14.5703125" customWidth="1"/>
    <col min="10" max="10" width="8.28515625" customWidth="1"/>
    <col min="11" max="14" width="15.7109375" customWidth="1"/>
    <col min="17" max="17" width="22.85546875" customWidth="1"/>
    <col min="18" max="18" width="14.5703125" customWidth="1"/>
    <col min="19" max="19" width="8.85546875" customWidth="1"/>
    <col min="20" max="20" width="15.7109375" customWidth="1"/>
    <col min="21" max="21" width="14.5703125" customWidth="1"/>
    <col min="22" max="22" width="8" customWidth="1"/>
    <col min="23" max="23" width="15.7109375" customWidth="1"/>
    <col min="24" max="24" width="14.5703125" customWidth="1"/>
    <col min="25" max="25" width="8.28515625" customWidth="1"/>
    <col min="26" max="26" width="15.7109375" customWidth="1"/>
    <col min="27" max="27" width="14.5703125" customWidth="1"/>
    <col min="28" max="28" width="8.28515625" customWidth="1"/>
    <col min="29" max="29" width="15.7109375" customWidth="1"/>
  </cols>
  <sheetData>
    <row r="2" spans="2:26">
      <c r="B2" s="22" t="s">
        <v>36</v>
      </c>
    </row>
    <row r="3" spans="2:26" ht="15.75">
      <c r="B3" s="2" t="s">
        <v>227</v>
      </c>
      <c r="C3" t="s">
        <v>248</v>
      </c>
      <c r="F3" t="s">
        <v>288</v>
      </c>
      <c r="I3" t="s">
        <v>248</v>
      </c>
      <c r="Q3" s="2" t="s">
        <v>230</v>
      </c>
    </row>
    <row r="4" spans="2:26">
      <c r="B4" s="354" t="s">
        <v>3</v>
      </c>
      <c r="C4" s="268" t="s">
        <v>10</v>
      </c>
      <c r="D4" s="347"/>
      <c r="E4" s="269"/>
      <c r="F4" s="268" t="s">
        <v>15</v>
      </c>
      <c r="G4" s="347"/>
      <c r="H4" s="269"/>
      <c r="I4" s="268" t="s">
        <v>17</v>
      </c>
      <c r="J4" s="347"/>
      <c r="K4" s="269"/>
      <c r="L4" s="11"/>
      <c r="M4" s="11"/>
      <c r="N4" s="11"/>
      <c r="Q4" s="354" t="s">
        <v>4</v>
      </c>
      <c r="R4" s="268" t="s">
        <v>10</v>
      </c>
      <c r="S4" s="347"/>
      <c r="T4" s="269"/>
      <c r="U4" s="268" t="s">
        <v>15</v>
      </c>
      <c r="V4" s="347"/>
      <c r="W4" s="269"/>
      <c r="X4" s="268" t="s">
        <v>17</v>
      </c>
      <c r="Y4" s="347"/>
      <c r="Z4" s="269"/>
    </row>
    <row r="5" spans="2:26">
      <c r="B5" s="355"/>
      <c r="C5" s="5" t="s">
        <v>180</v>
      </c>
      <c r="D5" s="6" t="s">
        <v>41</v>
      </c>
      <c r="E5" s="6" t="s">
        <v>44</v>
      </c>
      <c r="F5" s="5" t="s">
        <v>180</v>
      </c>
      <c r="G5" s="6" t="s">
        <v>41</v>
      </c>
      <c r="H5" s="6" t="s">
        <v>44</v>
      </c>
      <c r="I5" s="5" t="s">
        <v>180</v>
      </c>
      <c r="J5" s="6" t="s">
        <v>41</v>
      </c>
      <c r="K5" s="6" t="s">
        <v>44</v>
      </c>
      <c r="L5" s="11"/>
      <c r="M5" s="11"/>
      <c r="N5" s="11"/>
      <c r="Q5" s="355"/>
      <c r="R5" s="5" t="s">
        <v>180</v>
      </c>
      <c r="S5" s="6" t="s">
        <v>41</v>
      </c>
      <c r="T5" s="6" t="s">
        <v>44</v>
      </c>
      <c r="U5" s="5" t="s">
        <v>180</v>
      </c>
      <c r="V5" s="6" t="s">
        <v>41</v>
      </c>
      <c r="W5" s="6" t="s">
        <v>44</v>
      </c>
      <c r="X5" s="5" t="s">
        <v>180</v>
      </c>
      <c r="Y5" s="6" t="s">
        <v>41</v>
      </c>
      <c r="Z5" s="6" t="s">
        <v>44</v>
      </c>
    </row>
    <row r="6" spans="2:26">
      <c r="B6" s="7" t="s">
        <v>233</v>
      </c>
      <c r="C6" s="8">
        <v>30000000</v>
      </c>
      <c r="D6" s="7">
        <v>1</v>
      </c>
      <c r="E6" s="8">
        <f t="shared" ref="E6:E14" si="0">+C6*D6</f>
        <v>30000000</v>
      </c>
      <c r="F6" s="8">
        <v>30000000</v>
      </c>
      <c r="G6" s="7">
        <v>1</v>
      </c>
      <c r="H6" s="8">
        <f t="shared" ref="H6:H14" si="1">+F6*G6</f>
        <v>30000000</v>
      </c>
      <c r="I6" s="8">
        <v>30000000</v>
      </c>
      <c r="J6" s="7">
        <v>1</v>
      </c>
      <c r="K6" s="8">
        <f t="shared" ref="K6:K14" si="2">+I6*J6</f>
        <v>30000000</v>
      </c>
      <c r="L6" s="25"/>
      <c r="M6" s="25"/>
      <c r="N6" s="25"/>
      <c r="Q6" s="7" t="s">
        <v>233</v>
      </c>
      <c r="R6" s="8"/>
      <c r="S6" s="7"/>
      <c r="T6" s="8">
        <f t="shared" ref="T6:T14" si="3">+R6*S6</f>
        <v>0</v>
      </c>
      <c r="U6" s="8"/>
      <c r="V6" s="7"/>
      <c r="W6" s="8">
        <f t="shared" ref="W6:W14" si="4">+U6*V6</f>
        <v>0</v>
      </c>
      <c r="X6" s="8"/>
      <c r="Y6" s="7"/>
      <c r="Z6" s="8">
        <f t="shared" ref="Z6:Z14" si="5">+X6*Y6</f>
        <v>0</v>
      </c>
    </row>
    <row r="7" spans="2:26">
      <c r="B7" s="7" t="s">
        <v>234</v>
      </c>
      <c r="C7" s="8">
        <v>0</v>
      </c>
      <c r="D7" s="7">
        <v>1</v>
      </c>
      <c r="E7" s="8">
        <f t="shared" si="0"/>
        <v>0</v>
      </c>
      <c r="F7" s="8">
        <v>0</v>
      </c>
      <c r="G7" s="7">
        <v>1</v>
      </c>
      <c r="H7" s="8">
        <f t="shared" si="1"/>
        <v>0</v>
      </c>
      <c r="I7" s="8">
        <v>0</v>
      </c>
      <c r="J7" s="7">
        <v>1</v>
      </c>
      <c r="K7" s="8">
        <f t="shared" si="2"/>
        <v>0</v>
      </c>
      <c r="L7" s="25"/>
      <c r="M7" s="25"/>
      <c r="N7" s="25"/>
      <c r="Q7" s="7" t="s">
        <v>234</v>
      </c>
      <c r="R7" s="8"/>
      <c r="S7" s="7"/>
      <c r="T7" s="8">
        <f t="shared" si="3"/>
        <v>0</v>
      </c>
      <c r="U7" s="8"/>
      <c r="V7" s="7"/>
      <c r="W7" s="8">
        <f t="shared" si="4"/>
        <v>0</v>
      </c>
      <c r="X7" s="8"/>
      <c r="Y7" s="7"/>
      <c r="Z7" s="8">
        <f t="shared" si="5"/>
        <v>0</v>
      </c>
    </row>
    <row r="8" spans="2:26">
      <c r="B8" s="7" t="s">
        <v>235</v>
      </c>
      <c r="C8" s="8">
        <v>6000</v>
      </c>
      <c r="D8" s="7">
        <v>0</v>
      </c>
      <c r="E8" s="8">
        <f t="shared" si="0"/>
        <v>0</v>
      </c>
      <c r="F8" s="8">
        <v>6000</v>
      </c>
      <c r="G8" s="7">
        <v>0</v>
      </c>
      <c r="H8" s="8">
        <f t="shared" si="1"/>
        <v>0</v>
      </c>
      <c r="I8" s="8">
        <v>6000</v>
      </c>
      <c r="J8" s="7">
        <v>0</v>
      </c>
      <c r="K8" s="8">
        <f t="shared" si="2"/>
        <v>0</v>
      </c>
      <c r="L8" s="25"/>
      <c r="M8" s="25"/>
      <c r="N8" s="25"/>
      <c r="Q8" s="7" t="s">
        <v>235</v>
      </c>
      <c r="R8" s="8"/>
      <c r="S8" s="7"/>
      <c r="T8" s="8">
        <f t="shared" si="3"/>
        <v>0</v>
      </c>
      <c r="U8" s="8"/>
      <c r="V8" s="7"/>
      <c r="W8" s="8">
        <f t="shared" si="4"/>
        <v>0</v>
      </c>
      <c r="X8" s="8"/>
      <c r="Y8" s="7"/>
      <c r="Z8" s="8">
        <f t="shared" si="5"/>
        <v>0</v>
      </c>
    </row>
    <row r="9" spans="2:26">
      <c r="B9" s="7" t="s">
        <v>236</v>
      </c>
      <c r="C9" s="8">
        <v>50000</v>
      </c>
      <c r="D9" s="7">
        <v>16</v>
      </c>
      <c r="E9" s="8">
        <f t="shared" si="0"/>
        <v>800000</v>
      </c>
      <c r="F9" s="8">
        <v>50000</v>
      </c>
      <c r="G9" s="7">
        <v>35</v>
      </c>
      <c r="H9" s="8">
        <f t="shared" si="1"/>
        <v>1750000</v>
      </c>
      <c r="I9" s="8">
        <v>50000</v>
      </c>
      <c r="J9" s="7">
        <v>20</v>
      </c>
      <c r="K9" s="8">
        <f t="shared" si="2"/>
        <v>1000000</v>
      </c>
      <c r="L9" s="25"/>
      <c r="M9" s="25"/>
      <c r="N9" s="25"/>
      <c r="Q9" s="7" t="s">
        <v>236</v>
      </c>
      <c r="R9" s="8"/>
      <c r="S9" s="7"/>
      <c r="T9" s="8">
        <f t="shared" si="3"/>
        <v>0</v>
      </c>
      <c r="U9" s="8"/>
      <c r="V9" s="7"/>
      <c r="W9" s="8">
        <f t="shared" si="4"/>
        <v>0</v>
      </c>
      <c r="X9" s="8"/>
      <c r="Y9" s="7"/>
      <c r="Z9" s="8">
        <f t="shared" si="5"/>
        <v>0</v>
      </c>
    </row>
    <row r="10" spans="2:26">
      <c r="B10" s="7" t="s">
        <v>237</v>
      </c>
      <c r="C10" s="8">
        <v>1000000</v>
      </c>
      <c r="D10" s="7">
        <v>0.3</v>
      </c>
      <c r="E10" s="8">
        <f t="shared" si="0"/>
        <v>300000</v>
      </c>
      <c r="F10" s="8">
        <v>1000000</v>
      </c>
      <c r="G10" s="7">
        <v>0.5</v>
      </c>
      <c r="H10" s="8">
        <f t="shared" si="1"/>
        <v>500000</v>
      </c>
      <c r="I10" s="8">
        <v>1000000</v>
      </c>
      <c r="J10" s="7">
        <v>0.3</v>
      </c>
      <c r="K10" s="8">
        <f t="shared" si="2"/>
        <v>300000</v>
      </c>
      <c r="L10" s="25"/>
      <c r="M10" s="25"/>
      <c r="N10" s="25"/>
      <c r="Q10" s="7" t="s">
        <v>237</v>
      </c>
      <c r="R10" s="8"/>
      <c r="S10" s="7"/>
      <c r="T10" s="8">
        <f t="shared" si="3"/>
        <v>0</v>
      </c>
      <c r="U10" s="8"/>
      <c r="V10" s="7"/>
      <c r="W10" s="8">
        <f t="shared" si="4"/>
        <v>0</v>
      </c>
      <c r="X10" s="8"/>
      <c r="Y10" s="7"/>
      <c r="Z10" s="8">
        <f t="shared" si="5"/>
        <v>0</v>
      </c>
    </row>
    <row r="11" spans="2:26">
      <c r="B11" s="7" t="s">
        <v>238</v>
      </c>
      <c r="C11" s="8">
        <v>600000</v>
      </c>
      <c r="D11" s="7">
        <v>0</v>
      </c>
      <c r="E11" s="8">
        <f t="shared" si="0"/>
        <v>0</v>
      </c>
      <c r="F11" s="8">
        <v>600000</v>
      </c>
      <c r="G11" s="7">
        <v>0</v>
      </c>
      <c r="H11" s="8">
        <f t="shared" si="1"/>
        <v>0</v>
      </c>
      <c r="I11" s="8">
        <v>600000</v>
      </c>
      <c r="J11" s="7">
        <v>0</v>
      </c>
      <c r="K11" s="8">
        <f t="shared" si="2"/>
        <v>0</v>
      </c>
      <c r="L11" s="25"/>
      <c r="M11" s="25"/>
      <c r="N11" s="25"/>
      <c r="Q11" s="7" t="s">
        <v>238</v>
      </c>
      <c r="R11" s="8"/>
      <c r="S11" s="7"/>
      <c r="T11" s="8">
        <f t="shared" si="3"/>
        <v>0</v>
      </c>
      <c r="U11" s="8"/>
      <c r="V11" s="7"/>
      <c r="W11" s="8">
        <f t="shared" si="4"/>
        <v>0</v>
      </c>
      <c r="X11" s="8"/>
      <c r="Y11" s="7"/>
      <c r="Z11" s="8">
        <f t="shared" si="5"/>
        <v>0</v>
      </c>
    </row>
    <row r="12" spans="2:26">
      <c r="B12" s="7" t="s">
        <v>239</v>
      </c>
      <c r="C12" s="8">
        <v>420000</v>
      </c>
      <c r="D12" s="7">
        <v>0</v>
      </c>
      <c r="E12" s="8">
        <f t="shared" si="0"/>
        <v>0</v>
      </c>
      <c r="F12" s="8">
        <v>420000</v>
      </c>
      <c r="G12" s="7">
        <v>0</v>
      </c>
      <c r="H12" s="8">
        <f t="shared" si="1"/>
        <v>0</v>
      </c>
      <c r="I12" s="8">
        <v>420000</v>
      </c>
      <c r="J12" s="7">
        <v>0</v>
      </c>
      <c r="K12" s="8">
        <f t="shared" si="2"/>
        <v>0</v>
      </c>
      <c r="L12" s="25"/>
      <c r="M12" s="25"/>
      <c r="N12" s="25"/>
      <c r="Q12" s="7" t="s">
        <v>239</v>
      </c>
      <c r="R12" s="8"/>
      <c r="S12" s="7"/>
      <c r="T12" s="8">
        <f t="shared" si="3"/>
        <v>0</v>
      </c>
      <c r="U12" s="8"/>
      <c r="V12" s="7"/>
      <c r="W12" s="8">
        <f t="shared" si="4"/>
        <v>0</v>
      </c>
      <c r="X12" s="8"/>
      <c r="Y12" s="7"/>
      <c r="Z12" s="8">
        <f t="shared" si="5"/>
        <v>0</v>
      </c>
    </row>
    <row r="13" spans="2:26">
      <c r="B13" s="7" t="s">
        <v>240</v>
      </c>
      <c r="C13" s="8">
        <v>315000</v>
      </c>
      <c r="D13" s="7">
        <v>0</v>
      </c>
      <c r="E13" s="8">
        <f t="shared" si="0"/>
        <v>0</v>
      </c>
      <c r="F13" s="8">
        <v>315000</v>
      </c>
      <c r="G13" s="7">
        <v>0</v>
      </c>
      <c r="H13" s="8">
        <f t="shared" si="1"/>
        <v>0</v>
      </c>
      <c r="I13" s="8">
        <v>315000</v>
      </c>
      <c r="J13" s="7">
        <v>0</v>
      </c>
      <c r="K13" s="8">
        <f t="shared" si="2"/>
        <v>0</v>
      </c>
      <c r="L13" s="25"/>
      <c r="M13" s="25"/>
      <c r="N13" s="25"/>
      <c r="Q13" s="7" t="s">
        <v>240</v>
      </c>
      <c r="R13" s="8"/>
      <c r="S13" s="7"/>
      <c r="T13" s="8">
        <f t="shared" si="3"/>
        <v>0</v>
      </c>
      <c r="U13" s="8"/>
      <c r="V13" s="7"/>
      <c r="W13" s="8">
        <f t="shared" si="4"/>
        <v>0</v>
      </c>
      <c r="X13" s="8"/>
      <c r="Y13" s="7"/>
      <c r="Z13" s="8">
        <f t="shared" si="5"/>
        <v>0</v>
      </c>
    </row>
    <row r="14" spans="2:26">
      <c r="B14" s="7" t="s">
        <v>241</v>
      </c>
      <c r="C14" s="8"/>
      <c r="D14" s="7">
        <v>0</v>
      </c>
      <c r="E14" s="8">
        <f t="shared" si="0"/>
        <v>0</v>
      </c>
      <c r="F14" s="8"/>
      <c r="G14" s="7">
        <v>0</v>
      </c>
      <c r="H14" s="8">
        <f t="shared" si="1"/>
        <v>0</v>
      </c>
      <c r="I14" s="8"/>
      <c r="J14" s="7">
        <v>0</v>
      </c>
      <c r="K14" s="8">
        <f t="shared" si="2"/>
        <v>0</v>
      </c>
      <c r="L14" s="25"/>
      <c r="M14" s="25"/>
      <c r="N14" s="25"/>
      <c r="Q14" s="7" t="s">
        <v>241</v>
      </c>
      <c r="R14" s="8"/>
      <c r="S14" s="7"/>
      <c r="T14" s="8">
        <f t="shared" si="3"/>
        <v>0</v>
      </c>
      <c r="U14" s="8"/>
      <c r="V14" s="7"/>
      <c r="W14" s="8">
        <f t="shared" si="4"/>
        <v>0</v>
      </c>
      <c r="X14" s="8"/>
      <c r="Y14" s="7"/>
      <c r="Z14" s="8">
        <f t="shared" si="5"/>
        <v>0</v>
      </c>
    </row>
    <row r="15" spans="2:26" s="1" customFormat="1">
      <c r="B15" s="9"/>
      <c r="C15" s="9"/>
      <c r="D15" s="6" t="s">
        <v>48</v>
      </c>
      <c r="E15" s="10">
        <f>SUM(E6:E14)</f>
        <v>31100000</v>
      </c>
      <c r="F15" s="9"/>
      <c r="G15" s="6" t="s">
        <v>48</v>
      </c>
      <c r="H15" s="10">
        <f>SUM(H6:H14)</f>
        <v>32250000</v>
      </c>
      <c r="I15" s="9"/>
      <c r="J15" s="6" t="s">
        <v>48</v>
      </c>
      <c r="K15" s="10">
        <f>SUM(K6:K14)</f>
        <v>31300000</v>
      </c>
      <c r="L15" s="12"/>
      <c r="M15" s="12"/>
      <c r="N15" s="12"/>
      <c r="Q15" s="9"/>
      <c r="R15" s="9"/>
      <c r="S15" s="6" t="s">
        <v>48</v>
      </c>
      <c r="T15" s="10">
        <f>SUM(T6:T14)</f>
        <v>0</v>
      </c>
      <c r="U15" s="9"/>
      <c r="V15" s="6" t="s">
        <v>48</v>
      </c>
      <c r="W15" s="15">
        <f>SUM(W6:W14)</f>
        <v>0</v>
      </c>
      <c r="X15" s="9"/>
      <c r="Y15" s="6" t="s">
        <v>48</v>
      </c>
      <c r="Z15" s="10">
        <f>SUM(Z6:Z14)</f>
        <v>0</v>
      </c>
    </row>
    <row r="16" spans="2:26">
      <c r="J16" s="14"/>
      <c r="K16" s="14"/>
      <c r="L16" s="14"/>
      <c r="M16" s="14"/>
      <c r="N16" s="14"/>
      <c r="Z16" s="14">
        <f>(T15+W15+Z15)/3</f>
        <v>0</v>
      </c>
    </row>
    <row r="17" spans="2:29">
      <c r="J17" s="14"/>
      <c r="K17" s="14"/>
      <c r="L17" s="14"/>
      <c r="M17" s="14"/>
      <c r="N17" s="14"/>
      <c r="Z17" s="14"/>
    </row>
    <row r="18" spans="2:29">
      <c r="B18" s="24" t="s">
        <v>289</v>
      </c>
      <c r="C18" t="s">
        <v>290</v>
      </c>
      <c r="F18" t="s">
        <v>281</v>
      </c>
      <c r="I18" t="s">
        <v>291</v>
      </c>
      <c r="K18" s="14"/>
      <c r="L18" s="14"/>
      <c r="M18" s="14"/>
      <c r="N18" s="14"/>
      <c r="Z18" s="14"/>
    </row>
    <row r="19" spans="2:29">
      <c r="B19" s="354" t="s">
        <v>4</v>
      </c>
      <c r="C19" s="268" t="s">
        <v>10</v>
      </c>
      <c r="D19" s="347"/>
      <c r="E19" s="269"/>
      <c r="F19" s="268" t="s">
        <v>15</v>
      </c>
      <c r="G19" s="347"/>
      <c r="H19" s="269"/>
      <c r="I19" s="268" t="s">
        <v>17</v>
      </c>
      <c r="J19" s="347"/>
      <c r="K19" s="269"/>
      <c r="L19" s="268" t="s">
        <v>17</v>
      </c>
      <c r="M19" s="347"/>
      <c r="N19" s="269"/>
      <c r="Q19" s="354" t="s">
        <v>4</v>
      </c>
      <c r="R19" s="268" t="s">
        <v>10</v>
      </c>
      <c r="S19" s="347"/>
      <c r="T19" s="269"/>
      <c r="U19" s="268" t="s">
        <v>15</v>
      </c>
      <c r="V19" s="347"/>
      <c r="W19" s="269"/>
      <c r="X19" s="268" t="s">
        <v>17</v>
      </c>
      <c r="Y19" s="347"/>
      <c r="Z19" s="269"/>
      <c r="AA19" s="268" t="s">
        <v>17</v>
      </c>
      <c r="AB19" s="347"/>
      <c r="AC19" s="269"/>
    </row>
    <row r="20" spans="2:29">
      <c r="B20" s="355"/>
      <c r="C20" s="5" t="s">
        <v>180</v>
      </c>
      <c r="D20" s="6" t="s">
        <v>41</v>
      </c>
      <c r="E20" s="6" t="s">
        <v>44</v>
      </c>
      <c r="F20" s="5" t="s">
        <v>180</v>
      </c>
      <c r="G20" s="6" t="s">
        <v>41</v>
      </c>
      <c r="H20" s="6" t="s">
        <v>44</v>
      </c>
      <c r="I20" s="5" t="s">
        <v>180</v>
      </c>
      <c r="J20" s="6" t="s">
        <v>41</v>
      </c>
      <c r="K20" s="6" t="s">
        <v>44</v>
      </c>
      <c r="L20" s="5" t="s">
        <v>180</v>
      </c>
      <c r="M20" s="6" t="s">
        <v>41</v>
      </c>
      <c r="N20" s="6" t="s">
        <v>44</v>
      </c>
      <c r="Q20" s="355"/>
      <c r="R20" s="5" t="s">
        <v>180</v>
      </c>
      <c r="S20" s="6" t="s">
        <v>41</v>
      </c>
      <c r="T20" s="6" t="s">
        <v>44</v>
      </c>
      <c r="U20" s="5" t="s">
        <v>180</v>
      </c>
      <c r="V20" s="6" t="s">
        <v>41</v>
      </c>
      <c r="W20" s="6" t="s">
        <v>44</v>
      </c>
      <c r="X20" s="5" t="s">
        <v>180</v>
      </c>
      <c r="Y20" s="6" t="s">
        <v>41</v>
      </c>
      <c r="Z20" s="6" t="s">
        <v>44</v>
      </c>
      <c r="AA20" s="5" t="s">
        <v>180</v>
      </c>
      <c r="AB20" s="6" t="s">
        <v>41</v>
      </c>
      <c r="AC20" s="6" t="s">
        <v>44</v>
      </c>
    </row>
    <row r="21" spans="2:29" ht="17.25">
      <c r="B21" s="7" t="s">
        <v>233</v>
      </c>
      <c r="C21" s="8">
        <v>39647000</v>
      </c>
      <c r="D21" s="7">
        <v>11</v>
      </c>
      <c r="E21" s="8">
        <f t="shared" ref="E21:E29" si="6">+C21*D21</f>
        <v>436117000</v>
      </c>
      <c r="F21" s="8">
        <v>40027000</v>
      </c>
      <c r="G21" s="7">
        <v>7</v>
      </c>
      <c r="H21" s="8">
        <f t="shared" ref="H21:H29" si="7">+F21*G21</f>
        <v>280189000</v>
      </c>
      <c r="I21" s="8">
        <v>40027000</v>
      </c>
      <c r="J21" s="7">
        <v>7</v>
      </c>
      <c r="K21" s="8">
        <f t="shared" ref="K21:K29" si="8">+I21*J21</f>
        <v>280189000</v>
      </c>
      <c r="L21" s="8">
        <v>40027000</v>
      </c>
      <c r="M21" s="26">
        <v>1</v>
      </c>
      <c r="N21" s="8">
        <f t="shared" ref="N21:N29" si="9">+L21*M21</f>
        <v>40027000</v>
      </c>
      <c r="Q21" s="7" t="s">
        <v>233</v>
      </c>
      <c r="R21" s="8">
        <v>39647000</v>
      </c>
      <c r="S21" s="7">
        <v>11</v>
      </c>
      <c r="T21" s="8">
        <f t="shared" ref="T21:T29" si="10">+R21*S21</f>
        <v>436117000</v>
      </c>
      <c r="U21" s="8">
        <v>40027000</v>
      </c>
      <c r="V21" s="7">
        <v>7</v>
      </c>
      <c r="W21" s="8">
        <f t="shared" ref="W21:W29" si="11">+U21*V21</f>
        <v>280189000</v>
      </c>
      <c r="X21" s="8">
        <v>40027000</v>
      </c>
      <c r="Y21" s="7">
        <v>7</v>
      </c>
      <c r="Z21" s="8">
        <f t="shared" ref="Z21:Z29" si="12">+X21*Y21</f>
        <v>280189000</v>
      </c>
      <c r="AA21" s="8">
        <v>40027000</v>
      </c>
      <c r="AB21" s="26">
        <v>1</v>
      </c>
      <c r="AC21" s="8">
        <f t="shared" ref="AC21:AC29" si="13">+AA21*AB21</f>
        <v>40027000</v>
      </c>
    </row>
    <row r="22" spans="2:29" ht="17.25">
      <c r="B22" s="7" t="s">
        <v>234</v>
      </c>
      <c r="C22" s="8">
        <v>7663000</v>
      </c>
      <c r="D22" s="7">
        <v>11</v>
      </c>
      <c r="E22" s="8">
        <f t="shared" si="6"/>
        <v>84293000</v>
      </c>
      <c r="F22" s="8">
        <v>10297000</v>
      </c>
      <c r="G22" s="7">
        <v>7</v>
      </c>
      <c r="H22" s="8">
        <f t="shared" si="7"/>
        <v>72079000</v>
      </c>
      <c r="I22" s="8">
        <v>10297000</v>
      </c>
      <c r="J22" s="7">
        <v>7</v>
      </c>
      <c r="K22" s="8">
        <f t="shared" si="8"/>
        <v>72079000</v>
      </c>
      <c r="L22" s="8">
        <v>10297000</v>
      </c>
      <c r="M22" s="26">
        <v>1</v>
      </c>
      <c r="N22" s="8">
        <f t="shared" si="9"/>
        <v>10297000</v>
      </c>
      <c r="Q22" s="7" t="s">
        <v>234</v>
      </c>
      <c r="R22" s="8">
        <v>7663000</v>
      </c>
      <c r="S22" s="7">
        <v>11</v>
      </c>
      <c r="T22" s="8">
        <f t="shared" si="10"/>
        <v>84293000</v>
      </c>
      <c r="U22" s="8">
        <v>10297000</v>
      </c>
      <c r="V22" s="7">
        <v>7</v>
      </c>
      <c r="W22" s="8">
        <f t="shared" si="11"/>
        <v>72079000</v>
      </c>
      <c r="X22" s="8">
        <v>10297000</v>
      </c>
      <c r="Y22" s="7">
        <v>7</v>
      </c>
      <c r="Z22" s="8">
        <f t="shared" si="12"/>
        <v>72079000</v>
      </c>
      <c r="AA22" s="8">
        <v>10297000</v>
      </c>
      <c r="AB22" s="26">
        <v>1</v>
      </c>
      <c r="AC22" s="8">
        <f t="shared" si="13"/>
        <v>10297000</v>
      </c>
    </row>
    <row r="23" spans="2:29" ht="17.25">
      <c r="B23" s="7" t="s">
        <v>235</v>
      </c>
      <c r="C23" s="8">
        <v>7000</v>
      </c>
      <c r="D23" s="7">
        <v>0</v>
      </c>
      <c r="E23" s="8">
        <f t="shared" si="6"/>
        <v>0</v>
      </c>
      <c r="F23" s="8">
        <v>7000</v>
      </c>
      <c r="G23" s="7">
        <v>0</v>
      </c>
      <c r="H23" s="8">
        <f t="shared" si="7"/>
        <v>0</v>
      </c>
      <c r="I23" s="8">
        <v>7000</v>
      </c>
      <c r="J23" s="7">
        <v>0</v>
      </c>
      <c r="K23" s="8">
        <f t="shared" si="8"/>
        <v>0</v>
      </c>
      <c r="L23" s="8">
        <v>7000</v>
      </c>
      <c r="M23" s="27">
        <v>0</v>
      </c>
      <c r="N23" s="8">
        <f t="shared" si="9"/>
        <v>0</v>
      </c>
      <c r="Q23" s="7" t="s">
        <v>235</v>
      </c>
      <c r="R23" s="8">
        <v>4600</v>
      </c>
      <c r="S23" s="7">
        <v>0</v>
      </c>
      <c r="T23" s="8">
        <f t="shared" si="10"/>
        <v>0</v>
      </c>
      <c r="U23" s="8">
        <v>4600</v>
      </c>
      <c r="V23" s="7">
        <v>0</v>
      </c>
      <c r="W23" s="8">
        <f t="shared" si="11"/>
        <v>0</v>
      </c>
      <c r="X23" s="8">
        <v>4600</v>
      </c>
      <c r="Y23" s="7">
        <v>0</v>
      </c>
      <c r="Z23" s="8">
        <f t="shared" si="12"/>
        <v>0</v>
      </c>
      <c r="AA23" s="8">
        <v>4600</v>
      </c>
      <c r="AB23" s="27">
        <v>0</v>
      </c>
      <c r="AC23" s="8">
        <f t="shared" si="13"/>
        <v>0</v>
      </c>
    </row>
    <row r="24" spans="2:29" ht="17.25">
      <c r="B24" s="7" t="s">
        <v>236</v>
      </c>
      <c r="C24" s="8">
        <v>80300</v>
      </c>
      <c r="D24" s="7">
        <v>155</v>
      </c>
      <c r="E24" s="8">
        <f t="shared" si="6"/>
        <v>12446500</v>
      </c>
      <c r="F24" s="8">
        <v>80300</v>
      </c>
      <c r="G24" s="7">
        <v>174</v>
      </c>
      <c r="H24" s="8">
        <f t="shared" si="7"/>
        <v>13972200</v>
      </c>
      <c r="I24" s="8">
        <v>80300</v>
      </c>
      <c r="J24" s="7">
        <v>122.333333333333</v>
      </c>
      <c r="K24" s="8">
        <f t="shared" si="8"/>
        <v>9823366.66666664</v>
      </c>
      <c r="L24" s="8">
        <v>80300</v>
      </c>
      <c r="M24" s="26">
        <v>25</v>
      </c>
      <c r="N24" s="8">
        <f t="shared" si="9"/>
        <v>2007500</v>
      </c>
      <c r="Q24" s="7" t="s">
        <v>236</v>
      </c>
      <c r="R24" s="8">
        <v>80300</v>
      </c>
      <c r="S24" s="7">
        <v>155</v>
      </c>
      <c r="T24" s="8">
        <f t="shared" si="10"/>
        <v>12446500</v>
      </c>
      <c r="U24" s="8">
        <v>80300</v>
      </c>
      <c r="V24" s="7">
        <v>174</v>
      </c>
      <c r="W24" s="8">
        <f t="shared" si="11"/>
        <v>13972200</v>
      </c>
      <c r="X24" s="8">
        <v>80300</v>
      </c>
      <c r="Y24" s="7">
        <v>122.333333333333</v>
      </c>
      <c r="Z24" s="8">
        <f t="shared" si="12"/>
        <v>9823366.66666664</v>
      </c>
      <c r="AA24" s="8">
        <v>80300</v>
      </c>
      <c r="AB24" s="26">
        <v>25</v>
      </c>
      <c r="AC24" s="8">
        <f t="shared" si="13"/>
        <v>2007500</v>
      </c>
    </row>
    <row r="25" spans="2:29" ht="17.25">
      <c r="B25" s="7" t="s">
        <v>237</v>
      </c>
      <c r="C25" s="8">
        <v>1200000</v>
      </c>
      <c r="D25" s="7">
        <v>3</v>
      </c>
      <c r="E25" s="8">
        <f t="shared" si="6"/>
        <v>3600000</v>
      </c>
      <c r="F25" s="8">
        <v>1200000</v>
      </c>
      <c r="G25" s="7">
        <v>1</v>
      </c>
      <c r="H25" s="8">
        <f t="shared" si="7"/>
        <v>1200000</v>
      </c>
      <c r="I25" s="8">
        <v>1200000</v>
      </c>
      <c r="J25" s="7">
        <v>2</v>
      </c>
      <c r="K25" s="8">
        <f t="shared" si="8"/>
        <v>2400000</v>
      </c>
      <c r="L25" s="8">
        <v>1200000</v>
      </c>
      <c r="M25" s="26">
        <v>0.5</v>
      </c>
      <c r="N25" s="8">
        <f t="shared" si="9"/>
        <v>600000</v>
      </c>
      <c r="Q25" s="7" t="s">
        <v>237</v>
      </c>
      <c r="R25" s="8">
        <v>960000</v>
      </c>
      <c r="S25" s="7">
        <v>3</v>
      </c>
      <c r="T25" s="8">
        <f t="shared" si="10"/>
        <v>2880000</v>
      </c>
      <c r="U25" s="8">
        <v>960000</v>
      </c>
      <c r="V25" s="7">
        <v>1</v>
      </c>
      <c r="W25" s="8">
        <f t="shared" si="11"/>
        <v>960000</v>
      </c>
      <c r="X25" s="8">
        <v>960000</v>
      </c>
      <c r="Y25" s="7">
        <v>2</v>
      </c>
      <c r="Z25" s="8">
        <f t="shared" si="12"/>
        <v>1920000</v>
      </c>
      <c r="AA25" s="8">
        <v>960000</v>
      </c>
      <c r="AB25" s="26">
        <v>0.5</v>
      </c>
      <c r="AC25" s="8">
        <f t="shared" si="13"/>
        <v>480000</v>
      </c>
    </row>
    <row r="26" spans="2:29" ht="17.25">
      <c r="B26" s="7" t="s">
        <v>238</v>
      </c>
      <c r="C26" s="8">
        <v>650000</v>
      </c>
      <c r="D26" s="7">
        <v>0</v>
      </c>
      <c r="E26" s="8">
        <f t="shared" si="6"/>
        <v>0</v>
      </c>
      <c r="F26" s="8">
        <v>650000</v>
      </c>
      <c r="G26" s="7">
        <v>0</v>
      </c>
      <c r="H26" s="8">
        <f t="shared" si="7"/>
        <v>0</v>
      </c>
      <c r="I26" s="8">
        <v>650000</v>
      </c>
      <c r="J26" s="7">
        <v>0</v>
      </c>
      <c r="K26" s="8">
        <f t="shared" si="8"/>
        <v>0</v>
      </c>
      <c r="L26" s="8">
        <v>650000</v>
      </c>
      <c r="M26" s="26">
        <v>0</v>
      </c>
      <c r="N26" s="8">
        <f t="shared" si="9"/>
        <v>0</v>
      </c>
      <c r="Q26" s="7" t="s">
        <v>238</v>
      </c>
      <c r="R26" s="8">
        <v>530000</v>
      </c>
      <c r="S26" s="7">
        <v>0</v>
      </c>
      <c r="T26" s="8">
        <f t="shared" si="10"/>
        <v>0</v>
      </c>
      <c r="U26" s="8">
        <v>530000</v>
      </c>
      <c r="V26" s="7">
        <v>0</v>
      </c>
      <c r="W26" s="8">
        <f t="shared" si="11"/>
        <v>0</v>
      </c>
      <c r="X26" s="8">
        <v>530000</v>
      </c>
      <c r="Y26" s="7">
        <v>0</v>
      </c>
      <c r="Z26" s="8">
        <f t="shared" si="12"/>
        <v>0</v>
      </c>
      <c r="AA26" s="8">
        <v>530000</v>
      </c>
      <c r="AB26" s="26">
        <v>0</v>
      </c>
      <c r="AC26" s="8">
        <f t="shared" si="13"/>
        <v>0</v>
      </c>
    </row>
    <row r="27" spans="2:29" ht="17.25">
      <c r="B27" s="7" t="s">
        <v>239</v>
      </c>
      <c r="C27" s="8">
        <v>420000</v>
      </c>
      <c r="D27" s="7">
        <v>0</v>
      </c>
      <c r="E27" s="8">
        <f t="shared" si="6"/>
        <v>0</v>
      </c>
      <c r="F27" s="8">
        <v>420000</v>
      </c>
      <c r="G27" s="7">
        <v>0</v>
      </c>
      <c r="H27" s="8">
        <f t="shared" si="7"/>
        <v>0</v>
      </c>
      <c r="I27" s="8">
        <v>420000</v>
      </c>
      <c r="J27" s="7">
        <v>0</v>
      </c>
      <c r="K27" s="8">
        <f t="shared" si="8"/>
        <v>0</v>
      </c>
      <c r="L27" s="8">
        <v>420000</v>
      </c>
      <c r="M27" s="26">
        <v>0</v>
      </c>
      <c r="N27" s="8">
        <f t="shared" si="9"/>
        <v>0</v>
      </c>
      <c r="Q27" s="7" t="s">
        <v>239</v>
      </c>
      <c r="R27" s="8">
        <v>420000</v>
      </c>
      <c r="S27" s="7">
        <v>0</v>
      </c>
      <c r="T27" s="8">
        <f t="shared" si="10"/>
        <v>0</v>
      </c>
      <c r="U27" s="8">
        <v>420000</v>
      </c>
      <c r="V27" s="7">
        <v>0</v>
      </c>
      <c r="W27" s="8">
        <f t="shared" si="11"/>
        <v>0</v>
      </c>
      <c r="X27" s="8">
        <v>420000</v>
      </c>
      <c r="Y27" s="7">
        <v>0</v>
      </c>
      <c r="Z27" s="8">
        <f t="shared" si="12"/>
        <v>0</v>
      </c>
      <c r="AA27" s="8">
        <v>420000</v>
      </c>
      <c r="AB27" s="26">
        <v>0</v>
      </c>
      <c r="AC27" s="8">
        <f t="shared" si="13"/>
        <v>0</v>
      </c>
    </row>
    <row r="28" spans="2:29" ht="17.25">
      <c r="B28" s="7" t="s">
        <v>240</v>
      </c>
      <c r="C28" s="8">
        <v>450000</v>
      </c>
      <c r="D28" s="7">
        <v>0</v>
      </c>
      <c r="E28" s="8">
        <f t="shared" si="6"/>
        <v>0</v>
      </c>
      <c r="F28" s="8">
        <v>450000</v>
      </c>
      <c r="G28" s="7">
        <v>0</v>
      </c>
      <c r="H28" s="8">
        <f t="shared" si="7"/>
        <v>0</v>
      </c>
      <c r="I28" s="8">
        <v>450000</v>
      </c>
      <c r="J28" s="7">
        <v>0</v>
      </c>
      <c r="K28" s="8">
        <f t="shared" si="8"/>
        <v>0</v>
      </c>
      <c r="L28" s="8">
        <v>450000</v>
      </c>
      <c r="M28" s="26">
        <v>0</v>
      </c>
      <c r="N28" s="8">
        <f t="shared" si="9"/>
        <v>0</v>
      </c>
      <c r="Q28" s="7" t="s">
        <v>240</v>
      </c>
      <c r="R28" s="8">
        <v>450000</v>
      </c>
      <c r="S28" s="7">
        <v>0</v>
      </c>
      <c r="T28" s="8">
        <f t="shared" si="10"/>
        <v>0</v>
      </c>
      <c r="U28" s="8">
        <v>450000</v>
      </c>
      <c r="V28" s="7">
        <v>0</v>
      </c>
      <c r="W28" s="8">
        <f t="shared" si="11"/>
        <v>0</v>
      </c>
      <c r="X28" s="8">
        <v>450000</v>
      </c>
      <c r="Y28" s="7">
        <v>0</v>
      </c>
      <c r="Z28" s="8">
        <f t="shared" si="12"/>
        <v>0</v>
      </c>
      <c r="AA28" s="8">
        <v>450000</v>
      </c>
      <c r="AB28" s="26">
        <v>0</v>
      </c>
      <c r="AC28" s="8">
        <f t="shared" si="13"/>
        <v>0</v>
      </c>
    </row>
    <row r="29" spans="2:29" ht="17.25">
      <c r="B29" s="7" t="s">
        <v>241</v>
      </c>
      <c r="C29" s="8">
        <v>240000</v>
      </c>
      <c r="D29" s="7">
        <v>0</v>
      </c>
      <c r="E29" s="8">
        <f t="shared" si="6"/>
        <v>0</v>
      </c>
      <c r="F29" s="8">
        <v>240000</v>
      </c>
      <c r="G29" s="7">
        <v>0</v>
      </c>
      <c r="H29" s="8">
        <f t="shared" si="7"/>
        <v>0</v>
      </c>
      <c r="I29" s="8">
        <v>240000</v>
      </c>
      <c r="J29" s="7">
        <v>0</v>
      </c>
      <c r="K29" s="8">
        <f t="shared" si="8"/>
        <v>0</v>
      </c>
      <c r="L29" s="8">
        <v>240000</v>
      </c>
      <c r="M29" s="26">
        <v>0</v>
      </c>
      <c r="N29" s="8">
        <f t="shared" si="9"/>
        <v>0</v>
      </c>
      <c r="Q29" s="7" t="s">
        <v>241</v>
      </c>
      <c r="R29" s="8">
        <v>240000</v>
      </c>
      <c r="S29" s="7">
        <v>0</v>
      </c>
      <c r="T29" s="8">
        <f t="shared" si="10"/>
        <v>0</v>
      </c>
      <c r="U29" s="8">
        <v>240000</v>
      </c>
      <c r="V29" s="7">
        <v>0</v>
      </c>
      <c r="W29" s="8">
        <f t="shared" si="11"/>
        <v>0</v>
      </c>
      <c r="X29" s="8">
        <v>240000</v>
      </c>
      <c r="Y29" s="7">
        <v>0</v>
      </c>
      <c r="Z29" s="8">
        <f t="shared" si="12"/>
        <v>0</v>
      </c>
      <c r="AA29" s="8">
        <v>240000</v>
      </c>
      <c r="AB29" s="26">
        <v>0</v>
      </c>
      <c r="AC29" s="8">
        <f t="shared" si="13"/>
        <v>0</v>
      </c>
    </row>
    <row r="30" spans="2:29" s="1" customFormat="1">
      <c r="B30" s="9"/>
      <c r="C30" s="9"/>
      <c r="D30" s="6" t="s">
        <v>48</v>
      </c>
      <c r="E30" s="10">
        <f>SUM(E21:E29)</f>
        <v>536456500</v>
      </c>
      <c r="F30" s="9"/>
      <c r="G30" s="6" t="s">
        <v>48</v>
      </c>
      <c r="H30" s="10">
        <f>SUM(H21:H29)</f>
        <v>367440200</v>
      </c>
      <c r="I30" s="9"/>
      <c r="J30" s="6" t="s">
        <v>48</v>
      </c>
      <c r="K30" s="10">
        <f>SUM(K21:K29)</f>
        <v>364491366.66666663</v>
      </c>
      <c r="L30" s="9"/>
      <c r="M30" s="6" t="s">
        <v>48</v>
      </c>
      <c r="N30" s="10">
        <f>SUM(N21:N29)</f>
        <v>52931500</v>
      </c>
      <c r="Q30" s="9"/>
      <c r="R30" s="9"/>
      <c r="S30" s="6" t="s">
        <v>48</v>
      </c>
      <c r="T30" s="10">
        <f>SUM(T21:T29)</f>
        <v>535736500</v>
      </c>
      <c r="U30" s="9"/>
      <c r="V30" s="6" t="s">
        <v>48</v>
      </c>
      <c r="W30" s="15">
        <f>SUM(W21:W29)</f>
        <v>367200200</v>
      </c>
      <c r="X30" s="9"/>
      <c r="Y30" s="6" t="s">
        <v>48</v>
      </c>
      <c r="Z30" s="10">
        <f>SUM(Z21:Z29)</f>
        <v>364011366.66666663</v>
      </c>
      <c r="AA30" s="9"/>
      <c r="AB30" s="6" t="s">
        <v>48</v>
      </c>
      <c r="AC30" s="10">
        <f>SUM(AC21:AC29)</f>
        <v>52811500</v>
      </c>
    </row>
    <row r="31" spans="2:29">
      <c r="J31" s="14" t="s">
        <v>20</v>
      </c>
      <c r="K31" s="14">
        <f>(E30+H30+K30+N30)/26</f>
        <v>50819983.333333328</v>
      </c>
      <c r="L31" s="14"/>
      <c r="M31" s="14"/>
      <c r="N31" s="14"/>
      <c r="Z31" s="14">
        <f>(T30+W30+Z30+AC30)/26</f>
        <v>50759983.333333328</v>
      </c>
    </row>
    <row r="33" spans="2:26" hidden="1"/>
    <row r="34" spans="2:26" hidden="1">
      <c r="B34" s="354" t="s">
        <v>5</v>
      </c>
      <c r="C34" s="268" t="s">
        <v>10</v>
      </c>
      <c r="D34" s="347"/>
      <c r="E34" s="269"/>
      <c r="F34" s="268" t="s">
        <v>15</v>
      </c>
      <c r="G34" s="347"/>
      <c r="H34" s="269"/>
      <c r="I34" s="268" t="s">
        <v>17</v>
      </c>
      <c r="J34" s="347"/>
      <c r="K34" s="269"/>
      <c r="L34" s="11"/>
      <c r="M34" s="11"/>
      <c r="N34" s="11"/>
      <c r="Q34" s="354" t="s">
        <v>5</v>
      </c>
      <c r="R34" s="268" t="s">
        <v>10</v>
      </c>
      <c r="S34" s="347"/>
      <c r="T34" s="269"/>
      <c r="U34" s="268" t="s">
        <v>15</v>
      </c>
      <c r="V34" s="347"/>
      <c r="W34" s="269"/>
      <c r="X34" s="268" t="s">
        <v>17</v>
      </c>
      <c r="Y34" s="347"/>
      <c r="Z34" s="269"/>
    </row>
    <row r="35" spans="2:26" hidden="1">
      <c r="B35" s="355"/>
      <c r="C35" s="5" t="s">
        <v>180</v>
      </c>
      <c r="D35" s="6" t="s">
        <v>41</v>
      </c>
      <c r="E35" s="6" t="s">
        <v>44</v>
      </c>
      <c r="F35" s="5" t="s">
        <v>180</v>
      </c>
      <c r="G35" s="6" t="s">
        <v>41</v>
      </c>
      <c r="H35" s="6" t="s">
        <v>44</v>
      </c>
      <c r="I35" s="5" t="s">
        <v>180</v>
      </c>
      <c r="J35" s="6" t="s">
        <v>41</v>
      </c>
      <c r="K35" s="6" t="s">
        <v>44</v>
      </c>
      <c r="L35" s="11"/>
      <c r="M35" s="11"/>
      <c r="N35" s="11"/>
      <c r="Q35" s="355"/>
      <c r="R35" s="5" t="s">
        <v>180</v>
      </c>
      <c r="S35" s="6" t="s">
        <v>41</v>
      </c>
      <c r="T35" s="6" t="s">
        <v>44</v>
      </c>
      <c r="U35" s="5" t="s">
        <v>180</v>
      </c>
      <c r="V35" s="6" t="s">
        <v>41</v>
      </c>
      <c r="W35" s="6" t="s">
        <v>44</v>
      </c>
      <c r="X35" s="5" t="s">
        <v>180</v>
      </c>
      <c r="Y35" s="6" t="s">
        <v>41</v>
      </c>
      <c r="Z35" s="6" t="s">
        <v>44</v>
      </c>
    </row>
    <row r="36" spans="2:26" hidden="1">
      <c r="B36" s="7" t="s">
        <v>233</v>
      </c>
      <c r="C36" s="8"/>
      <c r="D36" s="7">
        <v>1</v>
      </c>
      <c r="E36" s="8">
        <f t="shared" ref="E36:E44" si="14">+C36*D36</f>
        <v>0</v>
      </c>
      <c r="F36" s="8"/>
      <c r="G36" s="7">
        <v>1</v>
      </c>
      <c r="H36" s="13">
        <f t="shared" ref="H36:H44" si="15">+F36*G36</f>
        <v>0</v>
      </c>
      <c r="I36" s="8"/>
      <c r="J36" s="7">
        <v>1</v>
      </c>
      <c r="K36" s="8">
        <f t="shared" ref="K36:K44" si="16">+I36*J36</f>
        <v>0</v>
      </c>
      <c r="L36" s="25"/>
      <c r="M36" s="25"/>
      <c r="N36" s="25"/>
      <c r="Q36" s="7" t="s">
        <v>233</v>
      </c>
      <c r="R36" s="8"/>
      <c r="S36" s="7">
        <v>1</v>
      </c>
      <c r="T36" s="8">
        <f t="shared" ref="T36:T44" si="17">+R36*S36</f>
        <v>0</v>
      </c>
      <c r="U36" s="8"/>
      <c r="V36" s="7">
        <v>1</v>
      </c>
      <c r="W36" s="8">
        <f t="shared" ref="W36:W44" si="18">+U36*V36</f>
        <v>0</v>
      </c>
      <c r="X36" s="8"/>
      <c r="Y36" s="7">
        <v>1</v>
      </c>
      <c r="Z36" s="8">
        <f t="shared" ref="Z36:Z44" si="19">+X36*Y36</f>
        <v>0</v>
      </c>
    </row>
    <row r="37" spans="2:26" hidden="1">
      <c r="B37" s="7" t="s">
        <v>234</v>
      </c>
      <c r="C37" s="8"/>
      <c r="D37" s="7">
        <v>1</v>
      </c>
      <c r="E37" s="8">
        <f t="shared" si="14"/>
        <v>0</v>
      </c>
      <c r="F37" s="8"/>
      <c r="G37" s="7">
        <v>1</v>
      </c>
      <c r="H37" s="13">
        <f t="shared" si="15"/>
        <v>0</v>
      </c>
      <c r="I37" s="8"/>
      <c r="J37" s="7">
        <v>1</v>
      </c>
      <c r="K37" s="8">
        <f t="shared" si="16"/>
        <v>0</v>
      </c>
      <c r="L37" s="25"/>
      <c r="M37" s="25"/>
      <c r="N37" s="25"/>
      <c r="Q37" s="7" t="s">
        <v>234</v>
      </c>
      <c r="R37" s="8"/>
      <c r="S37" s="7">
        <v>1</v>
      </c>
      <c r="T37" s="8">
        <f t="shared" si="17"/>
        <v>0</v>
      </c>
      <c r="U37" s="8"/>
      <c r="V37" s="7">
        <v>1</v>
      </c>
      <c r="W37" s="8">
        <f t="shared" si="18"/>
        <v>0</v>
      </c>
      <c r="X37" s="8"/>
      <c r="Y37" s="7">
        <v>1</v>
      </c>
      <c r="Z37" s="8">
        <f t="shared" si="19"/>
        <v>0</v>
      </c>
    </row>
    <row r="38" spans="2:26" hidden="1">
      <c r="B38" s="7" t="s">
        <v>235</v>
      </c>
      <c r="C38" s="8"/>
      <c r="D38" s="7">
        <v>0</v>
      </c>
      <c r="E38" s="8">
        <f t="shared" si="14"/>
        <v>0</v>
      </c>
      <c r="F38" s="8"/>
      <c r="G38" s="7"/>
      <c r="H38" s="13">
        <f t="shared" si="15"/>
        <v>0</v>
      </c>
      <c r="I38" s="8"/>
      <c r="J38" s="7">
        <v>0</v>
      </c>
      <c r="K38" s="8">
        <f t="shared" si="16"/>
        <v>0</v>
      </c>
      <c r="L38" s="25"/>
      <c r="M38" s="25"/>
      <c r="N38" s="25"/>
      <c r="Q38" s="7" t="s">
        <v>235</v>
      </c>
      <c r="R38" s="8"/>
      <c r="S38" s="7">
        <v>0</v>
      </c>
      <c r="T38" s="8">
        <f t="shared" si="17"/>
        <v>0</v>
      </c>
      <c r="U38" s="8"/>
      <c r="V38" s="7"/>
      <c r="W38" s="8">
        <f t="shared" si="18"/>
        <v>0</v>
      </c>
      <c r="X38" s="8"/>
      <c r="Y38" s="7">
        <v>0</v>
      </c>
      <c r="Z38" s="8">
        <f t="shared" si="19"/>
        <v>0</v>
      </c>
    </row>
    <row r="39" spans="2:26" hidden="1">
      <c r="B39" s="7" t="s">
        <v>236</v>
      </c>
      <c r="C39" s="8"/>
      <c r="D39" s="7">
        <v>16</v>
      </c>
      <c r="E39" s="8">
        <f t="shared" si="14"/>
        <v>0</v>
      </c>
      <c r="F39" s="8"/>
      <c r="G39" s="7">
        <v>35</v>
      </c>
      <c r="H39" s="13">
        <f t="shared" si="15"/>
        <v>0</v>
      </c>
      <c r="I39" s="8"/>
      <c r="J39" s="7">
        <v>20</v>
      </c>
      <c r="K39" s="8">
        <f t="shared" si="16"/>
        <v>0</v>
      </c>
      <c r="L39" s="25"/>
      <c r="M39" s="25"/>
      <c r="N39" s="25"/>
      <c r="Q39" s="7" t="s">
        <v>236</v>
      </c>
      <c r="R39" s="8"/>
      <c r="S39" s="7">
        <v>16</v>
      </c>
      <c r="T39" s="8">
        <f t="shared" si="17"/>
        <v>0</v>
      </c>
      <c r="U39" s="8"/>
      <c r="V39" s="7">
        <v>35</v>
      </c>
      <c r="W39" s="8">
        <f t="shared" si="18"/>
        <v>0</v>
      </c>
      <c r="X39" s="8"/>
      <c r="Y39" s="7">
        <v>20</v>
      </c>
      <c r="Z39" s="8">
        <f t="shared" si="19"/>
        <v>0</v>
      </c>
    </row>
    <row r="40" spans="2:26" hidden="1">
      <c r="B40" s="7" t="s">
        <v>237</v>
      </c>
      <c r="C40" s="8"/>
      <c r="D40" s="7">
        <v>0.3</v>
      </c>
      <c r="E40" s="8">
        <f t="shared" si="14"/>
        <v>0</v>
      </c>
      <c r="F40" s="8"/>
      <c r="G40" s="7">
        <v>0.5</v>
      </c>
      <c r="H40" s="13">
        <f t="shared" si="15"/>
        <v>0</v>
      </c>
      <c r="I40" s="8"/>
      <c r="J40" s="7">
        <v>0.3</v>
      </c>
      <c r="K40" s="8">
        <f t="shared" si="16"/>
        <v>0</v>
      </c>
      <c r="L40" s="25"/>
      <c r="M40" s="25"/>
      <c r="N40" s="25"/>
      <c r="Q40" s="7" t="s">
        <v>237</v>
      </c>
      <c r="R40" s="8"/>
      <c r="S40" s="7">
        <v>0.3</v>
      </c>
      <c r="T40" s="8">
        <f t="shared" si="17"/>
        <v>0</v>
      </c>
      <c r="U40" s="8"/>
      <c r="V40" s="7">
        <v>0.5</v>
      </c>
      <c r="W40" s="8">
        <f t="shared" si="18"/>
        <v>0</v>
      </c>
      <c r="X40" s="8"/>
      <c r="Y40" s="7">
        <v>0.3</v>
      </c>
      <c r="Z40" s="8">
        <f t="shared" si="19"/>
        <v>0</v>
      </c>
    </row>
    <row r="41" spans="2:26" hidden="1">
      <c r="B41" s="7" t="s">
        <v>238</v>
      </c>
      <c r="C41" s="8"/>
      <c r="D41" s="7">
        <v>1</v>
      </c>
      <c r="E41" s="8">
        <f t="shared" si="14"/>
        <v>0</v>
      </c>
      <c r="F41" s="8"/>
      <c r="G41" s="7">
        <v>1</v>
      </c>
      <c r="H41" s="13">
        <f t="shared" si="15"/>
        <v>0</v>
      </c>
      <c r="I41" s="8"/>
      <c r="J41" s="7">
        <v>1</v>
      </c>
      <c r="K41" s="8">
        <f t="shared" si="16"/>
        <v>0</v>
      </c>
      <c r="L41" s="25"/>
      <c r="M41" s="25"/>
      <c r="N41" s="25"/>
      <c r="Q41" s="7" t="s">
        <v>238</v>
      </c>
      <c r="R41" s="8"/>
      <c r="S41" s="7">
        <v>1</v>
      </c>
      <c r="T41" s="8">
        <f t="shared" si="17"/>
        <v>0</v>
      </c>
      <c r="U41" s="8"/>
      <c r="V41" s="7">
        <v>1</v>
      </c>
      <c r="W41" s="8">
        <f t="shared" si="18"/>
        <v>0</v>
      </c>
      <c r="X41" s="8"/>
      <c r="Y41" s="7">
        <v>1</v>
      </c>
      <c r="Z41" s="8">
        <f t="shared" si="19"/>
        <v>0</v>
      </c>
    </row>
    <row r="42" spans="2:26" hidden="1">
      <c r="B42" s="7" t="s">
        <v>239</v>
      </c>
      <c r="C42" s="8"/>
      <c r="D42" s="7">
        <v>1</v>
      </c>
      <c r="E42" s="8">
        <f t="shared" si="14"/>
        <v>0</v>
      </c>
      <c r="F42" s="8"/>
      <c r="G42" s="7">
        <v>1</v>
      </c>
      <c r="H42" s="13">
        <f t="shared" si="15"/>
        <v>0</v>
      </c>
      <c r="I42" s="8"/>
      <c r="J42" s="7">
        <v>1</v>
      </c>
      <c r="K42" s="8">
        <f t="shared" si="16"/>
        <v>0</v>
      </c>
      <c r="L42" s="25"/>
      <c r="M42" s="25"/>
      <c r="N42" s="25"/>
      <c r="Q42" s="7" t="s">
        <v>239</v>
      </c>
      <c r="R42" s="8"/>
      <c r="S42" s="7">
        <v>1</v>
      </c>
      <c r="T42" s="8">
        <f t="shared" si="17"/>
        <v>0</v>
      </c>
      <c r="U42" s="8"/>
      <c r="V42" s="7">
        <v>1</v>
      </c>
      <c r="W42" s="8">
        <f t="shared" si="18"/>
        <v>0</v>
      </c>
      <c r="X42" s="8"/>
      <c r="Y42" s="7">
        <v>1</v>
      </c>
      <c r="Z42" s="8">
        <f t="shared" si="19"/>
        <v>0</v>
      </c>
    </row>
    <row r="43" spans="2:26" hidden="1">
      <c r="B43" s="7" t="s">
        <v>240</v>
      </c>
      <c r="C43" s="8"/>
      <c r="D43" s="7">
        <v>1</v>
      </c>
      <c r="E43" s="8">
        <f t="shared" si="14"/>
        <v>0</v>
      </c>
      <c r="F43" s="8"/>
      <c r="G43" s="7">
        <v>1</v>
      </c>
      <c r="H43" s="13">
        <f t="shared" si="15"/>
        <v>0</v>
      </c>
      <c r="I43" s="8"/>
      <c r="J43" s="7">
        <v>1</v>
      </c>
      <c r="K43" s="8">
        <f t="shared" si="16"/>
        <v>0</v>
      </c>
      <c r="L43" s="25"/>
      <c r="M43" s="25"/>
      <c r="N43" s="25"/>
      <c r="Q43" s="7" t="s">
        <v>240</v>
      </c>
      <c r="R43" s="8"/>
      <c r="S43" s="7">
        <v>1</v>
      </c>
      <c r="T43" s="8">
        <f t="shared" si="17"/>
        <v>0</v>
      </c>
      <c r="U43" s="8"/>
      <c r="V43" s="7">
        <v>1</v>
      </c>
      <c r="W43" s="8">
        <f t="shared" si="18"/>
        <v>0</v>
      </c>
      <c r="X43" s="8"/>
      <c r="Y43" s="7">
        <v>1</v>
      </c>
      <c r="Z43" s="8">
        <f t="shared" si="19"/>
        <v>0</v>
      </c>
    </row>
    <row r="44" spans="2:26" hidden="1">
      <c r="B44" s="7" t="s">
        <v>241</v>
      </c>
      <c r="C44" s="8"/>
      <c r="D44" s="7">
        <v>0</v>
      </c>
      <c r="E44" s="8">
        <f t="shared" si="14"/>
        <v>0</v>
      </c>
      <c r="F44" s="8"/>
      <c r="G44" s="7">
        <v>0</v>
      </c>
      <c r="H44" s="13">
        <f t="shared" si="15"/>
        <v>0</v>
      </c>
      <c r="I44" s="8"/>
      <c r="J44" s="7">
        <v>0</v>
      </c>
      <c r="K44" s="8">
        <f t="shared" si="16"/>
        <v>0</v>
      </c>
      <c r="L44" s="25"/>
      <c r="M44" s="25"/>
      <c r="N44" s="25"/>
      <c r="Q44" s="7" t="s">
        <v>241</v>
      </c>
      <c r="R44" s="8"/>
      <c r="S44" s="7">
        <v>0</v>
      </c>
      <c r="T44" s="8">
        <f t="shared" si="17"/>
        <v>0</v>
      </c>
      <c r="U44" s="8"/>
      <c r="V44" s="7">
        <v>0</v>
      </c>
      <c r="W44" s="8">
        <f t="shared" si="18"/>
        <v>0</v>
      </c>
      <c r="X44" s="8"/>
      <c r="Y44" s="7">
        <v>0</v>
      </c>
      <c r="Z44" s="8">
        <f t="shared" si="19"/>
        <v>0</v>
      </c>
    </row>
    <row r="45" spans="2:26" hidden="1">
      <c r="B45" s="9"/>
      <c r="C45" s="9"/>
      <c r="D45" s="6" t="s">
        <v>48</v>
      </c>
      <c r="E45" s="10">
        <f>SUM(E36:E44)</f>
        <v>0</v>
      </c>
      <c r="F45" s="9"/>
      <c r="G45" s="6" t="s">
        <v>48</v>
      </c>
      <c r="H45" s="10">
        <f>SUM(H36:H44)</f>
        <v>0</v>
      </c>
      <c r="I45" s="9"/>
      <c r="J45" s="6" t="s">
        <v>48</v>
      </c>
      <c r="K45" s="10">
        <f>SUM(K36:K44)</f>
        <v>0</v>
      </c>
      <c r="L45" s="12"/>
      <c r="M45" s="12"/>
      <c r="N45" s="12"/>
      <c r="Q45" s="9"/>
      <c r="R45" s="9"/>
      <c r="S45" s="6" t="s">
        <v>48</v>
      </c>
      <c r="T45" s="10">
        <f>SUM(T36:T44)</f>
        <v>0</v>
      </c>
      <c r="U45" s="9"/>
      <c r="V45" s="6" t="s">
        <v>48</v>
      </c>
      <c r="W45" s="15">
        <f>SUM(W36:W44)</f>
        <v>0</v>
      </c>
      <c r="X45" s="9"/>
      <c r="Y45" s="6" t="s">
        <v>48</v>
      </c>
      <c r="Z45" s="10">
        <f>SUM(Z36:Z44)</f>
        <v>0</v>
      </c>
    </row>
    <row r="46" spans="2:26" hidden="1">
      <c r="K46" s="14">
        <f>(E45+H45+K45)/3</f>
        <v>0</v>
      </c>
      <c r="L46" s="14"/>
      <c r="M46" s="14"/>
      <c r="N46" s="14"/>
      <c r="Z46" s="14">
        <f>(T45+W45+Z45)/3</f>
        <v>0</v>
      </c>
    </row>
    <row r="47" spans="2:26" hidden="1">
      <c r="K47" s="14"/>
      <c r="L47" s="14"/>
      <c r="M47" s="14"/>
      <c r="N47" s="14"/>
      <c r="Z47" s="14"/>
    </row>
    <row r="48" spans="2:26" hidden="1">
      <c r="B48" s="354" t="s">
        <v>6</v>
      </c>
      <c r="C48" s="268" t="s">
        <v>10</v>
      </c>
      <c r="D48" s="347"/>
      <c r="E48" s="269"/>
      <c r="F48" s="268" t="s">
        <v>15</v>
      </c>
      <c r="G48" s="347"/>
      <c r="H48" s="269"/>
      <c r="I48" s="268" t="s">
        <v>17</v>
      </c>
      <c r="J48" s="347"/>
      <c r="K48" s="269"/>
      <c r="L48" s="11"/>
      <c r="M48" s="11"/>
      <c r="N48" s="11"/>
      <c r="Q48" s="354" t="s">
        <v>6</v>
      </c>
      <c r="R48" s="268" t="s">
        <v>10</v>
      </c>
      <c r="S48" s="347"/>
      <c r="T48" s="269"/>
      <c r="U48" s="268" t="s">
        <v>15</v>
      </c>
      <c r="V48" s="347"/>
      <c r="W48" s="269"/>
      <c r="X48" s="268" t="s">
        <v>17</v>
      </c>
      <c r="Y48" s="347"/>
      <c r="Z48" s="269"/>
    </row>
    <row r="49" spans="2:26" hidden="1">
      <c r="B49" s="355"/>
      <c r="C49" s="5" t="s">
        <v>180</v>
      </c>
      <c r="D49" s="6" t="s">
        <v>41</v>
      </c>
      <c r="E49" s="6" t="s">
        <v>44</v>
      </c>
      <c r="F49" s="5" t="s">
        <v>180</v>
      </c>
      <c r="G49" s="6" t="s">
        <v>41</v>
      </c>
      <c r="H49" s="6" t="s">
        <v>44</v>
      </c>
      <c r="I49" s="5" t="s">
        <v>180</v>
      </c>
      <c r="J49" s="6" t="s">
        <v>41</v>
      </c>
      <c r="K49" s="6" t="s">
        <v>44</v>
      </c>
      <c r="L49" s="11"/>
      <c r="M49" s="11"/>
      <c r="N49" s="11"/>
      <c r="Q49" s="355"/>
      <c r="R49" s="5" t="s">
        <v>180</v>
      </c>
      <c r="S49" s="6" t="s">
        <v>41</v>
      </c>
      <c r="T49" s="6" t="s">
        <v>44</v>
      </c>
      <c r="U49" s="5" t="s">
        <v>180</v>
      </c>
      <c r="V49" s="6" t="s">
        <v>41</v>
      </c>
      <c r="W49" s="6" t="s">
        <v>44</v>
      </c>
      <c r="X49" s="5" t="s">
        <v>180</v>
      </c>
      <c r="Y49" s="6" t="s">
        <v>41</v>
      </c>
      <c r="Z49" s="6" t="s">
        <v>44</v>
      </c>
    </row>
    <row r="50" spans="2:26" hidden="1">
      <c r="B50" s="7" t="s">
        <v>233</v>
      </c>
      <c r="C50" s="8"/>
      <c r="D50" s="7">
        <v>1</v>
      </c>
      <c r="E50" s="8">
        <f t="shared" ref="E50:E58" si="20">+C50*D50</f>
        <v>0</v>
      </c>
      <c r="F50" s="8"/>
      <c r="G50" s="7">
        <v>1</v>
      </c>
      <c r="H50" s="8">
        <f t="shared" ref="H50:H58" si="21">+F50*G50</f>
        <v>0</v>
      </c>
      <c r="I50" s="8"/>
      <c r="J50" s="7">
        <v>1</v>
      </c>
      <c r="K50" s="8">
        <f t="shared" ref="K50:K58" si="22">+I50*J50</f>
        <v>0</v>
      </c>
      <c r="L50" s="25"/>
      <c r="M50" s="25"/>
      <c r="N50" s="25"/>
      <c r="Q50" s="7" t="s">
        <v>233</v>
      </c>
      <c r="R50" s="8"/>
      <c r="S50" s="7">
        <v>1</v>
      </c>
      <c r="T50" s="8">
        <f t="shared" ref="T50:T58" si="23">+R50*S50</f>
        <v>0</v>
      </c>
      <c r="U50" s="8"/>
      <c r="V50" s="7">
        <v>1</v>
      </c>
      <c r="W50" s="8">
        <f t="shared" ref="W50:W58" si="24">+U50*V50</f>
        <v>0</v>
      </c>
      <c r="X50" s="8"/>
      <c r="Y50" s="7">
        <v>1</v>
      </c>
      <c r="Z50" s="8">
        <f t="shared" ref="Z50:Z58" si="25">+X50*Y50</f>
        <v>0</v>
      </c>
    </row>
    <row r="51" spans="2:26" hidden="1">
      <c r="B51" s="7" t="s">
        <v>234</v>
      </c>
      <c r="C51" s="8"/>
      <c r="D51" s="7">
        <v>1</v>
      </c>
      <c r="E51" s="8">
        <f t="shared" si="20"/>
        <v>0</v>
      </c>
      <c r="F51" s="8"/>
      <c r="G51" s="7">
        <v>1</v>
      </c>
      <c r="H51" s="8">
        <f t="shared" si="21"/>
        <v>0</v>
      </c>
      <c r="I51" s="8"/>
      <c r="J51" s="7">
        <v>1</v>
      </c>
      <c r="K51" s="8">
        <f t="shared" si="22"/>
        <v>0</v>
      </c>
      <c r="L51" s="25"/>
      <c r="M51" s="25"/>
      <c r="N51" s="25"/>
      <c r="Q51" s="7" t="s">
        <v>234</v>
      </c>
      <c r="R51" s="8"/>
      <c r="S51" s="7">
        <v>1</v>
      </c>
      <c r="T51" s="8">
        <f t="shared" si="23"/>
        <v>0</v>
      </c>
      <c r="U51" s="8"/>
      <c r="V51" s="7">
        <v>1</v>
      </c>
      <c r="W51" s="8">
        <f t="shared" si="24"/>
        <v>0</v>
      </c>
      <c r="X51" s="8"/>
      <c r="Y51" s="7">
        <v>1</v>
      </c>
      <c r="Z51" s="8">
        <f t="shared" si="25"/>
        <v>0</v>
      </c>
    </row>
    <row r="52" spans="2:26" hidden="1">
      <c r="B52" s="7" t="s">
        <v>235</v>
      </c>
      <c r="C52" s="8"/>
      <c r="D52" s="7">
        <v>0</v>
      </c>
      <c r="E52" s="8">
        <f t="shared" si="20"/>
        <v>0</v>
      </c>
      <c r="F52" s="8"/>
      <c r="G52" s="7"/>
      <c r="H52" s="8">
        <f t="shared" si="21"/>
        <v>0</v>
      </c>
      <c r="I52" s="8"/>
      <c r="J52" s="7">
        <v>0</v>
      </c>
      <c r="K52" s="8">
        <f t="shared" si="22"/>
        <v>0</v>
      </c>
      <c r="L52" s="25"/>
      <c r="M52" s="25"/>
      <c r="N52" s="25"/>
      <c r="Q52" s="7" t="s">
        <v>235</v>
      </c>
      <c r="R52" s="8"/>
      <c r="S52" s="7">
        <v>0</v>
      </c>
      <c r="T52" s="8">
        <f t="shared" si="23"/>
        <v>0</v>
      </c>
      <c r="U52" s="8"/>
      <c r="V52" s="7"/>
      <c r="W52" s="8">
        <f t="shared" si="24"/>
        <v>0</v>
      </c>
      <c r="X52" s="8"/>
      <c r="Y52" s="7">
        <v>0</v>
      </c>
      <c r="Z52" s="8">
        <f t="shared" si="25"/>
        <v>0</v>
      </c>
    </row>
    <row r="53" spans="2:26" hidden="1">
      <c r="B53" s="7" t="s">
        <v>236</v>
      </c>
      <c r="C53" s="8"/>
      <c r="D53" s="7">
        <v>16</v>
      </c>
      <c r="E53" s="8">
        <f t="shared" si="20"/>
        <v>0</v>
      </c>
      <c r="F53" s="8"/>
      <c r="G53" s="7">
        <v>35</v>
      </c>
      <c r="H53" s="8">
        <f t="shared" si="21"/>
        <v>0</v>
      </c>
      <c r="I53" s="8"/>
      <c r="J53" s="7">
        <v>20</v>
      </c>
      <c r="K53" s="8">
        <f t="shared" si="22"/>
        <v>0</v>
      </c>
      <c r="L53" s="25"/>
      <c r="M53" s="25"/>
      <c r="N53" s="25"/>
      <c r="Q53" s="7" t="s">
        <v>236</v>
      </c>
      <c r="R53" s="8"/>
      <c r="S53" s="7">
        <v>16</v>
      </c>
      <c r="T53" s="8">
        <f t="shared" si="23"/>
        <v>0</v>
      </c>
      <c r="U53" s="8"/>
      <c r="V53" s="7">
        <v>35</v>
      </c>
      <c r="W53" s="8">
        <f t="shared" si="24"/>
        <v>0</v>
      </c>
      <c r="X53" s="8"/>
      <c r="Y53" s="7">
        <v>20</v>
      </c>
      <c r="Z53" s="8">
        <f t="shared" si="25"/>
        <v>0</v>
      </c>
    </row>
    <row r="54" spans="2:26" hidden="1">
      <c r="B54" s="7" t="s">
        <v>237</v>
      </c>
      <c r="C54" s="8"/>
      <c r="D54" s="7">
        <v>0.3</v>
      </c>
      <c r="E54" s="8">
        <f t="shared" si="20"/>
        <v>0</v>
      </c>
      <c r="F54" s="8"/>
      <c r="G54" s="7">
        <v>0.5</v>
      </c>
      <c r="H54" s="8">
        <f t="shared" si="21"/>
        <v>0</v>
      </c>
      <c r="I54" s="8"/>
      <c r="J54" s="7">
        <v>0.3</v>
      </c>
      <c r="K54" s="8">
        <f t="shared" si="22"/>
        <v>0</v>
      </c>
      <c r="L54" s="25"/>
      <c r="M54" s="25"/>
      <c r="N54" s="25"/>
      <c r="Q54" s="7" t="s">
        <v>237</v>
      </c>
      <c r="R54" s="8"/>
      <c r="S54" s="7">
        <v>0.3</v>
      </c>
      <c r="T54" s="8">
        <f t="shared" si="23"/>
        <v>0</v>
      </c>
      <c r="U54" s="8"/>
      <c r="V54" s="7">
        <v>0.5</v>
      </c>
      <c r="W54" s="8">
        <f t="shared" si="24"/>
        <v>0</v>
      </c>
      <c r="X54" s="8"/>
      <c r="Y54" s="7">
        <v>0.3</v>
      </c>
      <c r="Z54" s="8">
        <f t="shared" si="25"/>
        <v>0</v>
      </c>
    </row>
    <row r="55" spans="2:26" hidden="1">
      <c r="B55" s="7" t="s">
        <v>238</v>
      </c>
      <c r="C55" s="8"/>
      <c r="D55" s="7">
        <v>1</v>
      </c>
      <c r="E55" s="8">
        <f t="shared" si="20"/>
        <v>0</v>
      </c>
      <c r="F55" s="8"/>
      <c r="G55" s="7">
        <v>1</v>
      </c>
      <c r="H55" s="8">
        <f t="shared" si="21"/>
        <v>0</v>
      </c>
      <c r="I55" s="8"/>
      <c r="J55" s="7">
        <v>1</v>
      </c>
      <c r="K55" s="8">
        <f t="shared" si="22"/>
        <v>0</v>
      </c>
      <c r="L55" s="25"/>
      <c r="M55" s="25"/>
      <c r="N55" s="25"/>
      <c r="Q55" s="7" t="s">
        <v>238</v>
      </c>
      <c r="R55" s="8"/>
      <c r="S55" s="7">
        <v>1</v>
      </c>
      <c r="T55" s="8">
        <f t="shared" si="23"/>
        <v>0</v>
      </c>
      <c r="U55" s="8"/>
      <c r="V55" s="7">
        <v>1</v>
      </c>
      <c r="W55" s="8">
        <f t="shared" si="24"/>
        <v>0</v>
      </c>
      <c r="X55" s="8"/>
      <c r="Y55" s="7">
        <v>1</v>
      </c>
      <c r="Z55" s="8">
        <f t="shared" si="25"/>
        <v>0</v>
      </c>
    </row>
    <row r="56" spans="2:26" hidden="1">
      <c r="B56" s="7" t="s">
        <v>239</v>
      </c>
      <c r="C56" s="8"/>
      <c r="D56" s="7">
        <v>1</v>
      </c>
      <c r="E56" s="8">
        <f t="shared" si="20"/>
        <v>0</v>
      </c>
      <c r="F56" s="8"/>
      <c r="G56" s="7">
        <v>1</v>
      </c>
      <c r="H56" s="8">
        <f t="shared" si="21"/>
        <v>0</v>
      </c>
      <c r="I56" s="8"/>
      <c r="J56" s="7">
        <v>1</v>
      </c>
      <c r="K56" s="8">
        <f t="shared" si="22"/>
        <v>0</v>
      </c>
      <c r="L56" s="25"/>
      <c r="M56" s="25"/>
      <c r="N56" s="25"/>
      <c r="Q56" s="7" t="s">
        <v>239</v>
      </c>
      <c r="R56" s="8"/>
      <c r="S56" s="7">
        <v>1</v>
      </c>
      <c r="T56" s="8">
        <f t="shared" si="23"/>
        <v>0</v>
      </c>
      <c r="U56" s="8"/>
      <c r="V56" s="7">
        <v>1</v>
      </c>
      <c r="W56" s="8">
        <f t="shared" si="24"/>
        <v>0</v>
      </c>
      <c r="X56" s="8"/>
      <c r="Y56" s="7">
        <v>1</v>
      </c>
      <c r="Z56" s="8">
        <f t="shared" si="25"/>
        <v>0</v>
      </c>
    </row>
    <row r="57" spans="2:26" hidden="1">
      <c r="B57" s="7" t="s">
        <v>240</v>
      </c>
      <c r="C57" s="8"/>
      <c r="D57" s="7">
        <v>1</v>
      </c>
      <c r="E57" s="8">
        <f t="shared" si="20"/>
        <v>0</v>
      </c>
      <c r="F57" s="8"/>
      <c r="G57" s="7">
        <v>1</v>
      </c>
      <c r="H57" s="8">
        <f t="shared" si="21"/>
        <v>0</v>
      </c>
      <c r="I57" s="8"/>
      <c r="J57" s="7">
        <v>1</v>
      </c>
      <c r="K57" s="8">
        <f t="shared" si="22"/>
        <v>0</v>
      </c>
      <c r="L57" s="25"/>
      <c r="M57" s="25"/>
      <c r="N57" s="25"/>
      <c r="Q57" s="7" t="s">
        <v>240</v>
      </c>
      <c r="R57" s="8"/>
      <c r="S57" s="7">
        <v>1</v>
      </c>
      <c r="T57" s="8">
        <f t="shared" si="23"/>
        <v>0</v>
      </c>
      <c r="U57" s="8"/>
      <c r="V57" s="7">
        <v>1</v>
      </c>
      <c r="W57" s="8">
        <f t="shared" si="24"/>
        <v>0</v>
      </c>
      <c r="X57" s="8"/>
      <c r="Y57" s="7">
        <v>1</v>
      </c>
      <c r="Z57" s="8">
        <f t="shared" si="25"/>
        <v>0</v>
      </c>
    </row>
    <row r="58" spans="2:26" hidden="1">
      <c r="B58" s="7" t="s">
        <v>241</v>
      </c>
      <c r="C58" s="8"/>
      <c r="D58" s="7">
        <v>0</v>
      </c>
      <c r="E58" s="8">
        <f t="shared" si="20"/>
        <v>0</v>
      </c>
      <c r="F58" s="8"/>
      <c r="G58" s="7">
        <v>0</v>
      </c>
      <c r="H58" s="8">
        <f t="shared" si="21"/>
        <v>0</v>
      </c>
      <c r="I58" s="8"/>
      <c r="J58" s="7">
        <v>0</v>
      </c>
      <c r="K58" s="8">
        <f t="shared" si="22"/>
        <v>0</v>
      </c>
      <c r="L58" s="25"/>
      <c r="M58" s="25"/>
      <c r="N58" s="25"/>
      <c r="Q58" s="7" t="s">
        <v>241</v>
      </c>
      <c r="R58" s="8"/>
      <c r="S58" s="7">
        <v>0</v>
      </c>
      <c r="T58" s="8">
        <f t="shared" si="23"/>
        <v>0</v>
      </c>
      <c r="U58" s="8"/>
      <c r="V58" s="7">
        <v>0</v>
      </c>
      <c r="W58" s="8">
        <f t="shared" si="24"/>
        <v>0</v>
      </c>
      <c r="X58" s="8"/>
      <c r="Y58" s="7">
        <v>0</v>
      </c>
      <c r="Z58" s="8">
        <f t="shared" si="25"/>
        <v>0</v>
      </c>
    </row>
    <row r="59" spans="2:26" hidden="1">
      <c r="B59" s="9"/>
      <c r="C59" s="9"/>
      <c r="D59" s="6" t="s">
        <v>48</v>
      </c>
      <c r="E59" s="10">
        <f>SUM(E50:E58)</f>
        <v>0</v>
      </c>
      <c r="F59" s="9"/>
      <c r="G59" s="6" t="s">
        <v>48</v>
      </c>
      <c r="H59" s="17">
        <f>SUM(H50:H58)</f>
        <v>0</v>
      </c>
      <c r="I59" s="9"/>
      <c r="J59" s="6" t="s">
        <v>48</v>
      </c>
      <c r="K59" s="10">
        <f>SUM(K50:K58)</f>
        <v>0</v>
      </c>
      <c r="L59" s="12"/>
      <c r="M59" s="12"/>
      <c r="N59" s="12"/>
      <c r="Q59" s="9"/>
      <c r="R59" s="9"/>
      <c r="S59" s="6" t="s">
        <v>48</v>
      </c>
      <c r="T59" s="10">
        <f>SUM(T50:T58)</f>
        <v>0</v>
      </c>
      <c r="U59" s="9"/>
      <c r="V59" s="6" t="s">
        <v>48</v>
      </c>
      <c r="W59" s="15">
        <f>SUM(W50:W58)</f>
        <v>0</v>
      </c>
      <c r="X59" s="9"/>
      <c r="Y59" s="6" t="s">
        <v>48</v>
      </c>
      <c r="Z59" s="10">
        <f>SUM(Z50:Z58)</f>
        <v>0</v>
      </c>
    </row>
    <row r="60" spans="2:26" hidden="1">
      <c r="K60" s="14">
        <f>(E59+H59+K59)/3</f>
        <v>0</v>
      </c>
      <c r="L60" s="14"/>
      <c r="M60" s="14"/>
      <c r="N60" s="14"/>
      <c r="Z60" s="14">
        <f>(T59+W59+Z59)/3</f>
        <v>0</v>
      </c>
    </row>
    <row r="61" spans="2:26" hidden="1"/>
    <row r="62" spans="2:26" hidden="1"/>
    <row r="63" spans="2:26" hidden="1">
      <c r="B63" s="354" t="s">
        <v>7</v>
      </c>
      <c r="C63" s="268" t="s">
        <v>10</v>
      </c>
      <c r="D63" s="347"/>
      <c r="E63" s="269"/>
      <c r="F63" s="268" t="s">
        <v>15</v>
      </c>
      <c r="G63" s="347"/>
      <c r="H63" s="269"/>
      <c r="I63" s="268" t="s">
        <v>17</v>
      </c>
      <c r="J63" s="347"/>
      <c r="K63" s="269"/>
      <c r="L63" s="11"/>
      <c r="M63" s="11"/>
      <c r="N63" s="11"/>
      <c r="Q63" s="354" t="s">
        <v>7</v>
      </c>
      <c r="R63" s="268" t="s">
        <v>10</v>
      </c>
      <c r="S63" s="347"/>
      <c r="T63" s="269"/>
      <c r="U63" s="268" t="s">
        <v>15</v>
      </c>
      <c r="V63" s="347"/>
      <c r="W63" s="269"/>
      <c r="X63" s="268" t="s">
        <v>17</v>
      </c>
      <c r="Y63" s="347"/>
      <c r="Z63" s="269"/>
    </row>
    <row r="64" spans="2:26" hidden="1">
      <c r="B64" s="355"/>
      <c r="C64" s="5" t="s">
        <v>180</v>
      </c>
      <c r="D64" s="6" t="s">
        <v>41</v>
      </c>
      <c r="E64" s="6" t="s">
        <v>44</v>
      </c>
      <c r="F64" s="5" t="s">
        <v>180</v>
      </c>
      <c r="G64" s="6" t="s">
        <v>41</v>
      </c>
      <c r="H64" s="6" t="s">
        <v>44</v>
      </c>
      <c r="I64" s="5" t="s">
        <v>180</v>
      </c>
      <c r="J64" s="6" t="s">
        <v>41</v>
      </c>
      <c r="K64" s="6" t="s">
        <v>44</v>
      </c>
      <c r="L64" s="11"/>
      <c r="M64" s="11"/>
      <c r="N64" s="11"/>
      <c r="Q64" s="355"/>
      <c r="R64" s="5" t="s">
        <v>180</v>
      </c>
      <c r="S64" s="6" t="s">
        <v>41</v>
      </c>
      <c r="T64" s="6" t="s">
        <v>44</v>
      </c>
      <c r="U64" s="5" t="s">
        <v>180</v>
      </c>
      <c r="V64" s="6" t="s">
        <v>41</v>
      </c>
      <c r="W64" s="6" t="s">
        <v>44</v>
      </c>
      <c r="X64" s="5" t="s">
        <v>180</v>
      </c>
      <c r="Y64" s="6" t="s">
        <v>41</v>
      </c>
      <c r="Z64" s="6" t="s">
        <v>44</v>
      </c>
    </row>
    <row r="65" spans="2:26" hidden="1">
      <c r="B65" s="7" t="s">
        <v>233</v>
      </c>
      <c r="C65" s="8"/>
      <c r="D65" s="7">
        <v>1</v>
      </c>
      <c r="E65" s="8">
        <f t="shared" ref="E65:E73" si="26">+C65*D65</f>
        <v>0</v>
      </c>
      <c r="F65" s="8"/>
      <c r="G65" s="7">
        <v>1</v>
      </c>
      <c r="H65" s="8">
        <f t="shared" ref="H65:H73" si="27">+F65*G65</f>
        <v>0</v>
      </c>
      <c r="I65" s="8"/>
      <c r="J65" s="7">
        <v>1</v>
      </c>
      <c r="K65" s="8">
        <f t="shared" ref="K65:K73" si="28">+I65*J65</f>
        <v>0</v>
      </c>
      <c r="L65" s="25"/>
      <c r="M65" s="25"/>
      <c r="N65" s="25"/>
      <c r="Q65" s="7" t="s">
        <v>233</v>
      </c>
      <c r="R65" s="8"/>
      <c r="S65" s="7">
        <v>1</v>
      </c>
      <c r="T65" s="8">
        <f t="shared" ref="T65:T73" si="29">+R65*S65</f>
        <v>0</v>
      </c>
      <c r="U65" s="8"/>
      <c r="V65" s="7">
        <v>1</v>
      </c>
      <c r="W65" s="8">
        <f t="shared" ref="W65:W73" si="30">+U65*V65</f>
        <v>0</v>
      </c>
      <c r="X65" s="8"/>
      <c r="Y65" s="7">
        <v>1</v>
      </c>
      <c r="Z65" s="8">
        <f t="shared" ref="Z65:Z73" si="31">+X65*Y65</f>
        <v>0</v>
      </c>
    </row>
    <row r="66" spans="2:26" hidden="1">
      <c r="B66" s="7" t="s">
        <v>234</v>
      </c>
      <c r="C66" s="8"/>
      <c r="D66" s="7">
        <v>1</v>
      </c>
      <c r="E66" s="8">
        <f t="shared" si="26"/>
        <v>0</v>
      </c>
      <c r="F66" s="8"/>
      <c r="G66" s="7">
        <v>1</v>
      </c>
      <c r="H66" s="8">
        <f t="shared" si="27"/>
        <v>0</v>
      </c>
      <c r="I66" s="8"/>
      <c r="J66" s="7">
        <v>1</v>
      </c>
      <c r="K66" s="8">
        <f t="shared" si="28"/>
        <v>0</v>
      </c>
      <c r="L66" s="25"/>
      <c r="M66" s="25"/>
      <c r="N66" s="25"/>
      <c r="Q66" s="7" t="s">
        <v>234</v>
      </c>
      <c r="R66" s="8"/>
      <c r="S66" s="7">
        <v>1</v>
      </c>
      <c r="T66" s="8">
        <f t="shared" si="29"/>
        <v>0</v>
      </c>
      <c r="U66" s="8"/>
      <c r="V66" s="7">
        <v>1</v>
      </c>
      <c r="W66" s="8">
        <f t="shared" si="30"/>
        <v>0</v>
      </c>
      <c r="X66" s="8"/>
      <c r="Y66" s="7">
        <v>1</v>
      </c>
      <c r="Z66" s="8">
        <f t="shared" si="31"/>
        <v>0</v>
      </c>
    </row>
    <row r="67" spans="2:26" hidden="1">
      <c r="B67" s="7" t="s">
        <v>235</v>
      </c>
      <c r="C67" s="8"/>
      <c r="D67" s="7">
        <v>0</v>
      </c>
      <c r="E67" s="8">
        <f t="shared" si="26"/>
        <v>0</v>
      </c>
      <c r="F67" s="8"/>
      <c r="G67" s="7"/>
      <c r="H67" s="8">
        <f t="shared" si="27"/>
        <v>0</v>
      </c>
      <c r="I67" s="8"/>
      <c r="J67" s="7">
        <v>0</v>
      </c>
      <c r="K67" s="8">
        <f t="shared" si="28"/>
        <v>0</v>
      </c>
      <c r="L67" s="25"/>
      <c r="M67" s="25"/>
      <c r="N67" s="25"/>
      <c r="Q67" s="7" t="s">
        <v>235</v>
      </c>
      <c r="R67" s="8"/>
      <c r="S67" s="7">
        <v>0</v>
      </c>
      <c r="T67" s="8">
        <f t="shared" si="29"/>
        <v>0</v>
      </c>
      <c r="U67" s="8"/>
      <c r="V67" s="7"/>
      <c r="W67" s="8">
        <f t="shared" si="30"/>
        <v>0</v>
      </c>
      <c r="X67" s="8"/>
      <c r="Y67" s="7">
        <v>0</v>
      </c>
      <c r="Z67" s="8">
        <f t="shared" si="31"/>
        <v>0</v>
      </c>
    </row>
    <row r="68" spans="2:26" hidden="1">
      <c r="B68" s="7" t="s">
        <v>236</v>
      </c>
      <c r="C68" s="8"/>
      <c r="D68" s="7">
        <v>16</v>
      </c>
      <c r="E68" s="8">
        <f t="shared" si="26"/>
        <v>0</v>
      </c>
      <c r="F68" s="8"/>
      <c r="G68" s="7">
        <v>35</v>
      </c>
      <c r="H68" s="8">
        <f t="shared" si="27"/>
        <v>0</v>
      </c>
      <c r="I68" s="8"/>
      <c r="J68" s="7">
        <v>20</v>
      </c>
      <c r="K68" s="8">
        <f t="shared" si="28"/>
        <v>0</v>
      </c>
      <c r="L68" s="25"/>
      <c r="M68" s="25"/>
      <c r="N68" s="25"/>
      <c r="Q68" s="7" t="s">
        <v>236</v>
      </c>
      <c r="R68" s="8"/>
      <c r="S68" s="7">
        <v>16</v>
      </c>
      <c r="T68" s="8">
        <f t="shared" si="29"/>
        <v>0</v>
      </c>
      <c r="U68" s="8"/>
      <c r="V68" s="7">
        <v>35</v>
      </c>
      <c r="W68" s="8">
        <f t="shared" si="30"/>
        <v>0</v>
      </c>
      <c r="X68" s="8"/>
      <c r="Y68" s="7">
        <v>20</v>
      </c>
      <c r="Z68" s="8">
        <f t="shared" si="31"/>
        <v>0</v>
      </c>
    </row>
    <row r="69" spans="2:26" hidden="1">
      <c r="B69" s="7" t="s">
        <v>237</v>
      </c>
      <c r="C69" s="8"/>
      <c r="D69" s="7">
        <v>0.3</v>
      </c>
      <c r="E69" s="8">
        <f t="shared" si="26"/>
        <v>0</v>
      </c>
      <c r="F69" s="8"/>
      <c r="G69" s="7">
        <v>0.5</v>
      </c>
      <c r="H69" s="8">
        <f t="shared" si="27"/>
        <v>0</v>
      </c>
      <c r="I69" s="8"/>
      <c r="J69" s="7">
        <v>0.3</v>
      </c>
      <c r="K69" s="8">
        <f t="shared" si="28"/>
        <v>0</v>
      </c>
      <c r="L69" s="25"/>
      <c r="M69" s="25"/>
      <c r="N69" s="25"/>
      <c r="Q69" s="7" t="s">
        <v>237</v>
      </c>
      <c r="R69" s="8"/>
      <c r="S69" s="7">
        <v>0.3</v>
      </c>
      <c r="T69" s="8">
        <f t="shared" si="29"/>
        <v>0</v>
      </c>
      <c r="U69" s="8"/>
      <c r="V69" s="7">
        <v>0.5</v>
      </c>
      <c r="W69" s="8">
        <f t="shared" si="30"/>
        <v>0</v>
      </c>
      <c r="X69" s="8"/>
      <c r="Y69" s="7">
        <v>0.3</v>
      </c>
      <c r="Z69" s="8">
        <f t="shared" si="31"/>
        <v>0</v>
      </c>
    </row>
    <row r="70" spans="2:26" hidden="1">
      <c r="B70" s="7" t="s">
        <v>238</v>
      </c>
      <c r="C70" s="8"/>
      <c r="D70" s="7">
        <v>1</v>
      </c>
      <c r="E70" s="8">
        <f t="shared" si="26"/>
        <v>0</v>
      </c>
      <c r="F70" s="8"/>
      <c r="G70" s="7">
        <v>1</v>
      </c>
      <c r="H70" s="8">
        <f t="shared" si="27"/>
        <v>0</v>
      </c>
      <c r="I70" s="8"/>
      <c r="J70" s="7">
        <v>1</v>
      </c>
      <c r="K70" s="8">
        <f t="shared" si="28"/>
        <v>0</v>
      </c>
      <c r="L70" s="25"/>
      <c r="M70" s="25"/>
      <c r="N70" s="25"/>
      <c r="Q70" s="7" t="s">
        <v>238</v>
      </c>
      <c r="R70" s="8"/>
      <c r="S70" s="7">
        <v>1</v>
      </c>
      <c r="T70" s="8">
        <f t="shared" si="29"/>
        <v>0</v>
      </c>
      <c r="U70" s="8"/>
      <c r="V70" s="7">
        <v>1</v>
      </c>
      <c r="W70" s="8">
        <f t="shared" si="30"/>
        <v>0</v>
      </c>
      <c r="X70" s="8"/>
      <c r="Y70" s="7">
        <v>1</v>
      </c>
      <c r="Z70" s="8">
        <f t="shared" si="31"/>
        <v>0</v>
      </c>
    </row>
    <row r="71" spans="2:26" hidden="1">
      <c r="B71" s="7" t="s">
        <v>239</v>
      </c>
      <c r="C71" s="8"/>
      <c r="D71" s="7">
        <v>1</v>
      </c>
      <c r="E71" s="8">
        <f t="shared" si="26"/>
        <v>0</v>
      </c>
      <c r="F71" s="8"/>
      <c r="G71" s="7">
        <v>1</v>
      </c>
      <c r="H71" s="8">
        <f t="shared" si="27"/>
        <v>0</v>
      </c>
      <c r="I71" s="8"/>
      <c r="J71" s="7">
        <v>1</v>
      </c>
      <c r="K71" s="8">
        <f t="shared" si="28"/>
        <v>0</v>
      </c>
      <c r="L71" s="25"/>
      <c r="M71" s="25"/>
      <c r="N71" s="25"/>
      <c r="Q71" s="7" t="s">
        <v>239</v>
      </c>
      <c r="R71" s="8"/>
      <c r="S71" s="7">
        <v>1</v>
      </c>
      <c r="T71" s="8">
        <f t="shared" si="29"/>
        <v>0</v>
      </c>
      <c r="U71" s="8"/>
      <c r="V71" s="7">
        <v>1</v>
      </c>
      <c r="W71" s="8">
        <f t="shared" si="30"/>
        <v>0</v>
      </c>
      <c r="X71" s="8"/>
      <c r="Y71" s="7">
        <v>1</v>
      </c>
      <c r="Z71" s="8">
        <f t="shared" si="31"/>
        <v>0</v>
      </c>
    </row>
    <row r="72" spans="2:26" hidden="1">
      <c r="B72" s="7" t="s">
        <v>240</v>
      </c>
      <c r="C72" s="8"/>
      <c r="D72" s="7">
        <v>1</v>
      </c>
      <c r="E72" s="8">
        <f t="shared" si="26"/>
        <v>0</v>
      </c>
      <c r="F72" s="8"/>
      <c r="G72" s="7">
        <v>1</v>
      </c>
      <c r="H72" s="8">
        <f t="shared" si="27"/>
        <v>0</v>
      </c>
      <c r="I72" s="8"/>
      <c r="J72" s="7">
        <v>1</v>
      </c>
      <c r="K72" s="8">
        <f t="shared" si="28"/>
        <v>0</v>
      </c>
      <c r="L72" s="25"/>
      <c r="M72" s="25"/>
      <c r="N72" s="25"/>
      <c r="Q72" s="7" t="s">
        <v>240</v>
      </c>
      <c r="R72" s="8"/>
      <c r="S72" s="7">
        <v>1</v>
      </c>
      <c r="T72" s="8">
        <f t="shared" si="29"/>
        <v>0</v>
      </c>
      <c r="U72" s="8"/>
      <c r="V72" s="7">
        <v>1</v>
      </c>
      <c r="W72" s="8">
        <f t="shared" si="30"/>
        <v>0</v>
      </c>
      <c r="X72" s="8"/>
      <c r="Y72" s="7">
        <v>1</v>
      </c>
      <c r="Z72" s="8">
        <f t="shared" si="31"/>
        <v>0</v>
      </c>
    </row>
    <row r="73" spans="2:26" hidden="1">
      <c r="B73" s="7" t="s">
        <v>241</v>
      </c>
      <c r="C73" s="8"/>
      <c r="D73" s="7">
        <v>0</v>
      </c>
      <c r="E73" s="8">
        <f t="shared" si="26"/>
        <v>0</v>
      </c>
      <c r="F73" s="8"/>
      <c r="G73" s="7">
        <v>0</v>
      </c>
      <c r="H73" s="8">
        <f t="shared" si="27"/>
        <v>0</v>
      </c>
      <c r="I73" s="8"/>
      <c r="J73" s="7">
        <v>0</v>
      </c>
      <c r="K73" s="8">
        <f t="shared" si="28"/>
        <v>0</v>
      </c>
      <c r="L73" s="25"/>
      <c r="M73" s="25"/>
      <c r="N73" s="25"/>
      <c r="Q73" s="7" t="s">
        <v>241</v>
      </c>
      <c r="R73" s="8"/>
      <c r="S73" s="7">
        <v>0</v>
      </c>
      <c r="T73" s="8">
        <f t="shared" si="29"/>
        <v>0</v>
      </c>
      <c r="U73" s="8"/>
      <c r="V73" s="7">
        <v>0</v>
      </c>
      <c r="W73" s="8">
        <f t="shared" si="30"/>
        <v>0</v>
      </c>
      <c r="X73" s="8"/>
      <c r="Y73" s="7">
        <v>0</v>
      </c>
      <c r="Z73" s="8">
        <f t="shared" si="31"/>
        <v>0</v>
      </c>
    </row>
    <row r="74" spans="2:26" hidden="1">
      <c r="B74" s="9"/>
      <c r="C74" s="9"/>
      <c r="D74" s="6" t="s">
        <v>48</v>
      </c>
      <c r="E74" s="10">
        <f>SUM(E65:E73)</f>
        <v>0</v>
      </c>
      <c r="F74" s="10"/>
      <c r="G74" s="6" t="s">
        <v>48</v>
      </c>
      <c r="H74" s="10">
        <f>SUM(H65:H73)</f>
        <v>0</v>
      </c>
      <c r="I74" s="10"/>
      <c r="J74" s="6" t="s">
        <v>48</v>
      </c>
      <c r="K74" s="10">
        <f>SUM(K65:K73)</f>
        <v>0</v>
      </c>
      <c r="L74" s="12"/>
      <c r="M74" s="12"/>
      <c r="N74" s="12"/>
      <c r="Q74" s="9"/>
      <c r="R74" s="9"/>
      <c r="S74" s="6" t="s">
        <v>48</v>
      </c>
      <c r="T74" s="10">
        <f>SUM(T65:T73)</f>
        <v>0</v>
      </c>
      <c r="U74" s="9"/>
      <c r="V74" s="6" t="s">
        <v>48</v>
      </c>
      <c r="W74" s="15">
        <f>SUM(W65:W73)</f>
        <v>0</v>
      </c>
      <c r="X74" s="9"/>
      <c r="Y74" s="6" t="s">
        <v>48</v>
      </c>
      <c r="Z74" s="10">
        <f>SUM(Z65:Z73)</f>
        <v>0</v>
      </c>
    </row>
    <row r="75" spans="2:26" hidden="1">
      <c r="K75" s="14">
        <f>(E74+H74+K74)/3</f>
        <v>0</v>
      </c>
      <c r="L75" s="14"/>
      <c r="M75" s="14"/>
      <c r="N75" s="14"/>
      <c r="Z75" s="14">
        <f>(T74+W74+Z74)/3</f>
        <v>0</v>
      </c>
    </row>
    <row r="78" spans="2:26" hidden="1">
      <c r="B78" s="6" t="s">
        <v>205</v>
      </c>
      <c r="C78" s="6" t="s">
        <v>96</v>
      </c>
      <c r="D78" s="268" t="s">
        <v>227</v>
      </c>
      <c r="E78" s="269"/>
      <c r="F78" s="3" t="s">
        <v>230</v>
      </c>
      <c r="G78" s="4"/>
    </row>
    <row r="79" spans="2:26" hidden="1">
      <c r="B79" s="7" t="s">
        <v>4</v>
      </c>
      <c r="C79" s="18">
        <f>K31</f>
        <v>50819983.333333328</v>
      </c>
      <c r="D79" s="360" t="e">
        <f>+#REF!</f>
        <v>#REF!</v>
      </c>
      <c r="E79" s="372"/>
      <c r="F79" s="365">
        <f>+Z31</f>
        <v>50759983.333333328</v>
      </c>
      <c r="G79" s="366"/>
    </row>
    <row r="80" spans="2:26" hidden="1">
      <c r="B80" s="7" t="s">
        <v>5</v>
      </c>
      <c r="C80" s="7"/>
      <c r="D80" s="350">
        <f>+K46</f>
        <v>0</v>
      </c>
      <c r="E80" s="351"/>
      <c r="F80" s="365">
        <f>+Z46</f>
        <v>0</v>
      </c>
      <c r="G80" s="366"/>
    </row>
    <row r="81" spans="2:7" hidden="1">
      <c r="B81" s="7" t="s">
        <v>6</v>
      </c>
      <c r="C81" s="7"/>
      <c r="D81" s="348">
        <f>+K60</f>
        <v>0</v>
      </c>
      <c r="E81" s="349"/>
      <c r="F81" s="365">
        <f>+Z60</f>
        <v>0</v>
      </c>
      <c r="G81" s="366"/>
    </row>
    <row r="82" spans="2:7" hidden="1">
      <c r="B82" s="7" t="s">
        <v>7</v>
      </c>
      <c r="C82" s="7"/>
      <c r="D82" s="350">
        <f>+K75</f>
        <v>0</v>
      </c>
      <c r="E82" s="351"/>
      <c r="F82" s="365">
        <f>+Z75</f>
        <v>0</v>
      </c>
      <c r="G82" s="366"/>
    </row>
    <row r="83" spans="2:7" hidden="1">
      <c r="D83" s="356">
        <f>D81-C79</f>
        <v>-50819983.333333328</v>
      </c>
      <c r="E83" s="357"/>
    </row>
  </sheetData>
  <mergeCells count="52">
    <mergeCell ref="B4:B5"/>
    <mergeCell ref="B19:B20"/>
    <mergeCell ref="B34:B35"/>
    <mergeCell ref="B48:B49"/>
    <mergeCell ref="B63:B64"/>
    <mergeCell ref="D81:E81"/>
    <mergeCell ref="F81:G81"/>
    <mergeCell ref="D82:E82"/>
    <mergeCell ref="F82:G82"/>
    <mergeCell ref="D83:E83"/>
    <mergeCell ref="D78:E78"/>
    <mergeCell ref="D79:E79"/>
    <mergeCell ref="F79:G79"/>
    <mergeCell ref="D80:E80"/>
    <mergeCell ref="F80:G80"/>
    <mergeCell ref="X48:Z48"/>
    <mergeCell ref="C63:E63"/>
    <mergeCell ref="F63:H63"/>
    <mergeCell ref="I63:K63"/>
    <mergeCell ref="R63:T63"/>
    <mergeCell ref="U63:W63"/>
    <mergeCell ref="X63:Z63"/>
    <mergeCell ref="Q48:Q49"/>
    <mergeCell ref="Q63:Q64"/>
    <mergeCell ref="C48:E48"/>
    <mergeCell ref="F48:H48"/>
    <mergeCell ref="I48:K48"/>
    <mergeCell ref="R48:T48"/>
    <mergeCell ref="U48:W48"/>
    <mergeCell ref="AA19:AC19"/>
    <mergeCell ref="C34:E34"/>
    <mergeCell ref="F34:H34"/>
    <mergeCell ref="I34:K34"/>
    <mergeCell ref="R34:T34"/>
    <mergeCell ref="U34:W34"/>
    <mergeCell ref="X34:Z34"/>
    <mergeCell ref="Q19:Q20"/>
    <mergeCell ref="Q34:Q35"/>
    <mergeCell ref="X4:Z4"/>
    <mergeCell ref="C19:E19"/>
    <mergeCell ref="F19:H19"/>
    <mergeCell ref="I19:K19"/>
    <mergeCell ref="L19:N19"/>
    <mergeCell ref="R19:T19"/>
    <mergeCell ref="U19:W19"/>
    <mergeCell ref="X19:Z19"/>
    <mergeCell ref="Q4:Q5"/>
    <mergeCell ref="C4:E4"/>
    <mergeCell ref="F4:H4"/>
    <mergeCell ref="I4:K4"/>
    <mergeCell ref="R4:T4"/>
    <mergeCell ref="U4:W4"/>
  </mergeCells>
  <pageMargins left="0.7" right="0.7" top="0.75" bottom="0.75" header="0.3" footer="0.3"/>
  <pageSetup paperSize="9" scale="44" fitToHeight="0" orientation="landscape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61"/>
  <sheetViews>
    <sheetView showGridLines="0" topLeftCell="I25" zoomScale="85" zoomScaleNormal="85" workbookViewId="0">
      <selection activeCell="D64" sqref="D64"/>
    </sheetView>
  </sheetViews>
  <sheetFormatPr defaultColWidth="9" defaultRowHeight="15"/>
  <cols>
    <col min="2" max="2" width="22.85546875" customWidth="1"/>
    <col min="3" max="3" width="14.5703125" customWidth="1"/>
    <col min="4" max="4" width="8.85546875" customWidth="1"/>
    <col min="5" max="5" width="15.7109375" customWidth="1"/>
    <col min="6" max="6" width="14.5703125" customWidth="1"/>
    <col min="7" max="7" width="8" customWidth="1"/>
    <col min="8" max="8" width="15.7109375" customWidth="1"/>
    <col min="9" max="9" width="14.5703125" customWidth="1"/>
    <col min="10" max="10" width="8.28515625" customWidth="1"/>
    <col min="11" max="11" width="15.7109375" customWidth="1"/>
    <col min="14" max="14" width="22.85546875" customWidth="1"/>
    <col min="15" max="15" width="14.5703125" customWidth="1"/>
    <col min="16" max="16" width="8.85546875" customWidth="1"/>
    <col min="17" max="17" width="15.7109375" customWidth="1"/>
    <col min="18" max="18" width="14.5703125" customWidth="1"/>
    <col min="19" max="19" width="8" customWidth="1"/>
    <col min="20" max="20" width="15.7109375" customWidth="1"/>
    <col min="21" max="21" width="14.5703125" customWidth="1"/>
    <col min="22" max="22" width="8.28515625" customWidth="1"/>
    <col min="23" max="23" width="15.7109375" customWidth="1"/>
  </cols>
  <sheetData>
    <row r="2" spans="2:23">
      <c r="B2" s="22" t="s">
        <v>345</v>
      </c>
    </row>
    <row r="3" spans="2:23" ht="15.75">
      <c r="B3" s="2" t="s">
        <v>227</v>
      </c>
      <c r="C3" t="s">
        <v>244</v>
      </c>
      <c r="F3" t="s">
        <v>245</v>
      </c>
      <c r="I3" t="s">
        <v>245</v>
      </c>
      <c r="N3" s="2" t="s">
        <v>230</v>
      </c>
    </row>
    <row r="4" spans="2:23">
      <c r="B4" s="354" t="s">
        <v>3</v>
      </c>
      <c r="C4" s="268" t="s">
        <v>10</v>
      </c>
      <c r="D4" s="347"/>
      <c r="E4" s="269"/>
      <c r="F4" s="268" t="s">
        <v>15</v>
      </c>
      <c r="G4" s="347"/>
      <c r="H4" s="269"/>
      <c r="I4" s="268" t="s">
        <v>17</v>
      </c>
      <c r="J4" s="347"/>
      <c r="K4" s="269"/>
      <c r="N4" s="354" t="s">
        <v>4</v>
      </c>
      <c r="O4" s="268" t="s">
        <v>10</v>
      </c>
      <c r="P4" s="347"/>
      <c r="Q4" s="269"/>
      <c r="R4" s="268" t="s">
        <v>15</v>
      </c>
      <c r="S4" s="347"/>
      <c r="T4" s="269"/>
      <c r="U4" s="268" t="s">
        <v>17</v>
      </c>
      <c r="V4" s="347"/>
      <c r="W4" s="269"/>
    </row>
    <row r="5" spans="2:23">
      <c r="B5" s="355"/>
      <c r="C5" s="5" t="s">
        <v>180</v>
      </c>
      <c r="D5" s="6" t="s">
        <v>41</v>
      </c>
      <c r="E5" s="6" t="s">
        <v>44</v>
      </c>
      <c r="F5" s="5" t="s">
        <v>180</v>
      </c>
      <c r="G5" s="6" t="s">
        <v>41</v>
      </c>
      <c r="H5" s="6" t="s">
        <v>44</v>
      </c>
      <c r="I5" s="5" t="s">
        <v>180</v>
      </c>
      <c r="J5" s="6" t="s">
        <v>41</v>
      </c>
      <c r="K5" s="6" t="s">
        <v>44</v>
      </c>
      <c r="N5" s="355"/>
      <c r="O5" s="5" t="s">
        <v>180</v>
      </c>
      <c r="P5" s="6" t="s">
        <v>41</v>
      </c>
      <c r="Q5" s="6" t="s">
        <v>44</v>
      </c>
      <c r="R5" s="5" t="s">
        <v>180</v>
      </c>
      <c r="S5" s="6" t="s">
        <v>41</v>
      </c>
      <c r="T5" s="6" t="s">
        <v>44</v>
      </c>
      <c r="U5" s="5" t="s">
        <v>180</v>
      </c>
      <c r="V5" s="6" t="s">
        <v>41</v>
      </c>
      <c r="W5" s="6" t="s">
        <v>44</v>
      </c>
    </row>
    <row r="6" spans="2:23">
      <c r="B6" s="7" t="s">
        <v>233</v>
      </c>
      <c r="C6" s="8"/>
      <c r="D6" s="7">
        <v>1</v>
      </c>
      <c r="E6" s="8">
        <f t="shared" ref="E6:E14" si="0">+C6*D6</f>
        <v>0</v>
      </c>
      <c r="F6" s="8"/>
      <c r="G6" s="7">
        <v>1</v>
      </c>
      <c r="H6" s="8">
        <f t="shared" ref="H6:H14" si="1">+F6*G6</f>
        <v>0</v>
      </c>
      <c r="I6" s="8"/>
      <c r="J6" s="7">
        <v>1</v>
      </c>
      <c r="K6" s="8">
        <f t="shared" ref="K6:K14" si="2">+I6*J6</f>
        <v>0</v>
      </c>
      <c r="N6" s="7" t="s">
        <v>233</v>
      </c>
      <c r="O6" s="8"/>
      <c r="P6" s="7"/>
      <c r="Q6" s="8">
        <f t="shared" ref="Q6:Q14" si="3">+O6*P6</f>
        <v>0</v>
      </c>
      <c r="R6" s="8"/>
      <c r="S6" s="7"/>
      <c r="T6" s="8">
        <f t="shared" ref="T6:T14" si="4">+R6*S6</f>
        <v>0</v>
      </c>
      <c r="U6" s="8"/>
      <c r="V6" s="7"/>
      <c r="W6" s="8">
        <f t="shared" ref="W6:W14" si="5">+U6*V6</f>
        <v>0</v>
      </c>
    </row>
    <row r="7" spans="2:23">
      <c r="B7" s="7" t="s">
        <v>234</v>
      </c>
      <c r="C7" s="8"/>
      <c r="D7" s="7">
        <v>1</v>
      </c>
      <c r="E7" s="8">
        <f t="shared" si="0"/>
        <v>0</v>
      </c>
      <c r="F7" s="8"/>
      <c r="G7" s="7">
        <v>1</v>
      </c>
      <c r="H7" s="8">
        <f t="shared" si="1"/>
        <v>0</v>
      </c>
      <c r="I7" s="8"/>
      <c r="J7" s="7">
        <v>1</v>
      </c>
      <c r="K7" s="8">
        <f t="shared" si="2"/>
        <v>0</v>
      </c>
      <c r="N7" s="7" t="s">
        <v>234</v>
      </c>
      <c r="O7" s="8"/>
      <c r="P7" s="7"/>
      <c r="Q7" s="8">
        <f t="shared" si="3"/>
        <v>0</v>
      </c>
      <c r="R7" s="8"/>
      <c r="S7" s="7"/>
      <c r="T7" s="8">
        <f t="shared" si="4"/>
        <v>0</v>
      </c>
      <c r="U7" s="8"/>
      <c r="V7" s="7"/>
      <c r="W7" s="8">
        <f t="shared" si="5"/>
        <v>0</v>
      </c>
    </row>
    <row r="8" spans="2:23">
      <c r="B8" s="7" t="s">
        <v>235</v>
      </c>
      <c r="C8" s="8"/>
      <c r="D8" s="7">
        <v>0</v>
      </c>
      <c r="E8" s="8">
        <f t="shared" si="0"/>
        <v>0</v>
      </c>
      <c r="F8" s="8"/>
      <c r="G8" s="7">
        <v>0</v>
      </c>
      <c r="H8" s="8">
        <f t="shared" si="1"/>
        <v>0</v>
      </c>
      <c r="I8" s="8"/>
      <c r="J8" s="7">
        <v>0</v>
      </c>
      <c r="K8" s="8">
        <f t="shared" si="2"/>
        <v>0</v>
      </c>
      <c r="N8" s="7" t="s">
        <v>235</v>
      </c>
      <c r="O8" s="8"/>
      <c r="P8" s="7"/>
      <c r="Q8" s="8">
        <f t="shared" si="3"/>
        <v>0</v>
      </c>
      <c r="R8" s="8"/>
      <c r="S8" s="7"/>
      <c r="T8" s="8">
        <f t="shared" si="4"/>
        <v>0</v>
      </c>
      <c r="U8" s="8"/>
      <c r="V8" s="7"/>
      <c r="W8" s="8">
        <f t="shared" si="5"/>
        <v>0</v>
      </c>
    </row>
    <row r="9" spans="2:23">
      <c r="B9" s="7" t="s">
        <v>236</v>
      </c>
      <c r="C9" s="8"/>
      <c r="D9" s="7">
        <v>11</v>
      </c>
      <c r="E9" s="8">
        <f t="shared" si="0"/>
        <v>0</v>
      </c>
      <c r="F9" s="8"/>
      <c r="G9" s="7">
        <v>33</v>
      </c>
      <c r="H9" s="8">
        <f t="shared" si="1"/>
        <v>0</v>
      </c>
      <c r="I9" s="8"/>
      <c r="J9" s="7">
        <v>12</v>
      </c>
      <c r="K9" s="8">
        <f t="shared" si="2"/>
        <v>0</v>
      </c>
      <c r="N9" s="7" t="s">
        <v>236</v>
      </c>
      <c r="O9" s="8"/>
      <c r="P9" s="7"/>
      <c r="Q9" s="8">
        <f t="shared" si="3"/>
        <v>0</v>
      </c>
      <c r="R9" s="8"/>
      <c r="S9" s="7"/>
      <c r="T9" s="8">
        <f t="shared" si="4"/>
        <v>0</v>
      </c>
      <c r="U9" s="8"/>
      <c r="V9" s="7"/>
      <c r="W9" s="8">
        <f t="shared" si="5"/>
        <v>0</v>
      </c>
    </row>
    <row r="10" spans="2:23">
      <c r="B10" s="7" t="s">
        <v>237</v>
      </c>
      <c r="C10" s="8"/>
      <c r="D10" s="7">
        <v>1</v>
      </c>
      <c r="E10" s="8">
        <f t="shared" si="0"/>
        <v>0</v>
      </c>
      <c r="F10" s="8"/>
      <c r="G10" s="7">
        <v>1</v>
      </c>
      <c r="H10" s="8">
        <f t="shared" si="1"/>
        <v>0</v>
      </c>
      <c r="I10" s="8"/>
      <c r="J10" s="7">
        <v>1</v>
      </c>
      <c r="K10" s="8">
        <f t="shared" si="2"/>
        <v>0</v>
      </c>
      <c r="N10" s="7" t="s">
        <v>237</v>
      </c>
      <c r="O10" s="8"/>
      <c r="P10" s="7"/>
      <c r="Q10" s="8">
        <f t="shared" si="3"/>
        <v>0</v>
      </c>
      <c r="R10" s="8"/>
      <c r="S10" s="7"/>
      <c r="T10" s="8">
        <f t="shared" si="4"/>
        <v>0</v>
      </c>
      <c r="U10" s="8"/>
      <c r="V10" s="7"/>
      <c r="W10" s="8">
        <f t="shared" si="5"/>
        <v>0</v>
      </c>
    </row>
    <row r="11" spans="2:23">
      <c r="B11" s="7" t="s">
        <v>238</v>
      </c>
      <c r="C11" s="8"/>
      <c r="D11" s="7">
        <v>1</v>
      </c>
      <c r="E11" s="8">
        <f t="shared" si="0"/>
        <v>0</v>
      </c>
      <c r="F11" s="8"/>
      <c r="G11" s="7">
        <v>1</v>
      </c>
      <c r="H11" s="8">
        <f t="shared" si="1"/>
        <v>0</v>
      </c>
      <c r="I11" s="8"/>
      <c r="J11" s="7">
        <v>1</v>
      </c>
      <c r="K11" s="8">
        <f t="shared" si="2"/>
        <v>0</v>
      </c>
      <c r="N11" s="7" t="s">
        <v>238</v>
      </c>
      <c r="O11" s="8"/>
      <c r="P11" s="7"/>
      <c r="Q11" s="8">
        <f t="shared" si="3"/>
        <v>0</v>
      </c>
      <c r="R11" s="8"/>
      <c r="S11" s="7"/>
      <c r="T11" s="8">
        <f t="shared" si="4"/>
        <v>0</v>
      </c>
      <c r="U11" s="8"/>
      <c r="V11" s="7"/>
      <c r="W11" s="8">
        <f t="shared" si="5"/>
        <v>0</v>
      </c>
    </row>
    <row r="12" spans="2:23">
      <c r="B12" s="7" t="s">
        <v>239</v>
      </c>
      <c r="C12" s="8"/>
      <c r="D12" s="7">
        <v>1</v>
      </c>
      <c r="E12" s="8">
        <f t="shared" si="0"/>
        <v>0</v>
      </c>
      <c r="F12" s="8"/>
      <c r="G12" s="7">
        <v>1</v>
      </c>
      <c r="H12" s="8">
        <f t="shared" si="1"/>
        <v>0</v>
      </c>
      <c r="I12" s="8"/>
      <c r="J12" s="7">
        <v>1</v>
      </c>
      <c r="K12" s="8">
        <f t="shared" si="2"/>
        <v>0</v>
      </c>
      <c r="N12" s="7" t="s">
        <v>239</v>
      </c>
      <c r="O12" s="8"/>
      <c r="P12" s="7"/>
      <c r="Q12" s="8">
        <f t="shared" si="3"/>
        <v>0</v>
      </c>
      <c r="R12" s="8"/>
      <c r="S12" s="7"/>
      <c r="T12" s="8">
        <f t="shared" si="4"/>
        <v>0</v>
      </c>
      <c r="U12" s="8"/>
      <c r="V12" s="7"/>
      <c r="W12" s="8">
        <f t="shared" si="5"/>
        <v>0</v>
      </c>
    </row>
    <row r="13" spans="2:23">
      <c r="B13" s="7" t="s">
        <v>240</v>
      </c>
      <c r="C13" s="8"/>
      <c r="D13" s="7">
        <v>1</v>
      </c>
      <c r="E13" s="8">
        <f t="shared" si="0"/>
        <v>0</v>
      </c>
      <c r="F13" s="8"/>
      <c r="G13" s="7">
        <v>1</v>
      </c>
      <c r="H13" s="8">
        <f t="shared" si="1"/>
        <v>0</v>
      </c>
      <c r="I13" s="8"/>
      <c r="J13" s="7">
        <v>1</v>
      </c>
      <c r="K13" s="8">
        <f t="shared" si="2"/>
        <v>0</v>
      </c>
      <c r="N13" s="7" t="s">
        <v>240</v>
      </c>
      <c r="O13" s="8"/>
      <c r="P13" s="7"/>
      <c r="Q13" s="8">
        <f t="shared" si="3"/>
        <v>0</v>
      </c>
      <c r="R13" s="8"/>
      <c r="S13" s="7"/>
      <c r="T13" s="8">
        <f t="shared" si="4"/>
        <v>0</v>
      </c>
      <c r="U13" s="8"/>
      <c r="V13" s="7"/>
      <c r="W13" s="8">
        <f t="shared" si="5"/>
        <v>0</v>
      </c>
    </row>
    <row r="14" spans="2:23">
      <c r="B14" s="7" t="s">
        <v>241</v>
      </c>
      <c r="C14" s="8"/>
      <c r="D14" s="7">
        <v>0</v>
      </c>
      <c r="E14" s="8">
        <f t="shared" si="0"/>
        <v>0</v>
      </c>
      <c r="F14" s="8"/>
      <c r="G14" s="7">
        <v>0</v>
      </c>
      <c r="H14" s="8">
        <f t="shared" si="1"/>
        <v>0</v>
      </c>
      <c r="I14" s="8"/>
      <c r="J14" s="7">
        <v>0</v>
      </c>
      <c r="K14" s="8">
        <f t="shared" si="2"/>
        <v>0</v>
      </c>
      <c r="N14" s="7" t="s">
        <v>241</v>
      </c>
      <c r="O14" s="8"/>
      <c r="P14" s="7"/>
      <c r="Q14" s="8">
        <f t="shared" si="3"/>
        <v>0</v>
      </c>
      <c r="R14" s="8"/>
      <c r="S14" s="7"/>
      <c r="T14" s="8">
        <f t="shared" si="4"/>
        <v>0</v>
      </c>
      <c r="U14" s="8"/>
      <c r="V14" s="7"/>
      <c r="W14" s="8">
        <f t="shared" si="5"/>
        <v>0</v>
      </c>
    </row>
    <row r="15" spans="2:23" s="1" customFormat="1">
      <c r="B15" s="9"/>
      <c r="C15" s="9"/>
      <c r="D15" s="6" t="s">
        <v>48</v>
      </c>
      <c r="E15" s="10">
        <f>SUM(E6:E14)</f>
        <v>0</v>
      </c>
      <c r="F15" s="9"/>
      <c r="G15" s="6" t="s">
        <v>48</v>
      </c>
      <c r="H15" s="10">
        <f>SUM(H6:H14)</f>
        <v>0</v>
      </c>
      <c r="I15" s="9"/>
      <c r="J15" s="6" t="s">
        <v>48</v>
      </c>
      <c r="K15" s="10">
        <f>SUM(K6:K14)</f>
        <v>0</v>
      </c>
      <c r="N15" s="9"/>
      <c r="O15" s="9"/>
      <c r="P15" s="6" t="s">
        <v>48</v>
      </c>
      <c r="Q15" s="10">
        <f>SUM(Q6:Q14)</f>
        <v>0</v>
      </c>
      <c r="R15" s="9"/>
      <c r="S15" s="6" t="s">
        <v>48</v>
      </c>
      <c r="T15" s="15">
        <f>SUM(T6:T14)</f>
        <v>0</v>
      </c>
      <c r="U15" s="9"/>
      <c r="V15" s="6" t="s">
        <v>48</v>
      </c>
      <c r="W15" s="10">
        <f>SUM(W6:W14)</f>
        <v>0</v>
      </c>
    </row>
    <row r="16" spans="2:23">
      <c r="K16" s="14">
        <f>(E15+H15+K15)/3</f>
        <v>0</v>
      </c>
      <c r="W16" s="14">
        <f>+Q15+T15+W15</f>
        <v>0</v>
      </c>
    </row>
    <row r="17" spans="2:23">
      <c r="B17" s="22" t="s">
        <v>289</v>
      </c>
      <c r="C17" t="s">
        <v>246</v>
      </c>
      <c r="F17" t="s">
        <v>247</v>
      </c>
      <c r="I17" t="s">
        <v>245</v>
      </c>
      <c r="K17" s="14"/>
      <c r="W17" s="14"/>
    </row>
    <row r="18" spans="2:23">
      <c r="B18" s="354" t="s">
        <v>4</v>
      </c>
      <c r="C18" s="268" t="s">
        <v>10</v>
      </c>
      <c r="D18" s="347"/>
      <c r="E18" s="269"/>
      <c r="F18" s="268" t="s">
        <v>15</v>
      </c>
      <c r="G18" s="347"/>
      <c r="H18" s="269"/>
      <c r="I18" s="268" t="s">
        <v>17</v>
      </c>
      <c r="J18" s="347"/>
      <c r="K18" s="269"/>
      <c r="N18" s="354" t="s">
        <v>4</v>
      </c>
      <c r="O18" s="268" t="s">
        <v>10</v>
      </c>
      <c r="P18" s="347"/>
      <c r="Q18" s="269"/>
      <c r="R18" s="268" t="s">
        <v>15</v>
      </c>
      <c r="S18" s="347"/>
      <c r="T18" s="269"/>
      <c r="U18" s="268" t="s">
        <v>17</v>
      </c>
      <c r="V18" s="347"/>
      <c r="W18" s="269"/>
    </row>
    <row r="19" spans="2:23">
      <c r="B19" s="355"/>
      <c r="C19" s="5" t="s">
        <v>180</v>
      </c>
      <c r="D19" s="6" t="s">
        <v>41</v>
      </c>
      <c r="E19" s="6" t="s">
        <v>44</v>
      </c>
      <c r="F19" s="5" t="s">
        <v>180</v>
      </c>
      <c r="G19" s="6" t="s">
        <v>41</v>
      </c>
      <c r="H19" s="6" t="s">
        <v>44</v>
      </c>
      <c r="I19" s="5" t="s">
        <v>180</v>
      </c>
      <c r="J19" s="6" t="s">
        <v>41</v>
      </c>
      <c r="K19" s="6" t="s">
        <v>44</v>
      </c>
      <c r="N19" s="355"/>
      <c r="O19" s="5" t="s">
        <v>180</v>
      </c>
      <c r="P19" s="6" t="s">
        <v>41</v>
      </c>
      <c r="Q19" s="6" t="s">
        <v>44</v>
      </c>
      <c r="R19" s="5" t="s">
        <v>180</v>
      </c>
      <c r="S19" s="6" t="s">
        <v>41</v>
      </c>
      <c r="T19" s="6" t="s">
        <v>44</v>
      </c>
      <c r="U19" s="5" t="s">
        <v>180</v>
      </c>
      <c r="V19" s="6" t="s">
        <v>41</v>
      </c>
      <c r="W19" s="6" t="s">
        <v>44</v>
      </c>
    </row>
    <row r="20" spans="2:23">
      <c r="B20" s="7" t="s">
        <v>233</v>
      </c>
      <c r="C20" s="8">
        <v>40482470</v>
      </c>
      <c r="D20" s="7">
        <v>1</v>
      </c>
      <c r="E20" s="8">
        <f t="shared" ref="E20:E28" si="6">+C20*D20</f>
        <v>40482470</v>
      </c>
      <c r="F20" s="8">
        <v>40113000</v>
      </c>
      <c r="G20" s="7">
        <v>1</v>
      </c>
      <c r="H20" s="8">
        <f t="shared" ref="H20:H28" si="7">+F20*G20</f>
        <v>40113000</v>
      </c>
      <c r="I20" s="8">
        <v>39762000</v>
      </c>
      <c r="J20" s="7">
        <v>1</v>
      </c>
      <c r="K20" s="8">
        <f t="shared" ref="K20:K28" si="8">+I20*J20</f>
        <v>39762000</v>
      </c>
      <c r="N20" s="7" t="s">
        <v>233</v>
      </c>
      <c r="O20" s="8">
        <v>40482470</v>
      </c>
      <c r="P20" s="7">
        <v>1</v>
      </c>
      <c r="Q20" s="8">
        <f t="shared" ref="Q20:Q28" si="9">+O20*P20</f>
        <v>40482470</v>
      </c>
      <c r="R20" s="8">
        <v>40113000</v>
      </c>
      <c r="S20" s="7">
        <v>1</v>
      </c>
      <c r="T20" s="8">
        <f t="shared" ref="T20:T28" si="10">+R20*S20</f>
        <v>40113000</v>
      </c>
      <c r="U20" s="8">
        <v>39762000</v>
      </c>
      <c r="V20" s="7">
        <v>1</v>
      </c>
      <c r="W20" s="8">
        <f t="shared" ref="W20:W28" si="11">+U20*V20</f>
        <v>39762000</v>
      </c>
    </row>
    <row r="21" spans="2:23">
      <c r="B21" s="7" t="s">
        <v>234</v>
      </c>
      <c r="C21" s="8">
        <v>2873520</v>
      </c>
      <c r="D21" s="7">
        <v>1</v>
      </c>
      <c r="E21" s="8">
        <f t="shared" si="6"/>
        <v>2873520</v>
      </c>
      <c r="F21" s="8">
        <v>5747000</v>
      </c>
      <c r="G21" s="7">
        <v>1</v>
      </c>
      <c r="H21" s="8">
        <f t="shared" si="7"/>
        <v>5747000</v>
      </c>
      <c r="I21" s="8">
        <v>5029000</v>
      </c>
      <c r="J21" s="7">
        <v>1</v>
      </c>
      <c r="K21" s="8">
        <f t="shared" si="8"/>
        <v>5029000</v>
      </c>
      <c r="N21" s="7" t="s">
        <v>234</v>
      </c>
      <c r="O21" s="8">
        <v>2873520</v>
      </c>
      <c r="P21" s="7">
        <v>1</v>
      </c>
      <c r="Q21" s="8">
        <f t="shared" si="9"/>
        <v>2873520</v>
      </c>
      <c r="R21" s="8">
        <v>5747000</v>
      </c>
      <c r="S21" s="7">
        <v>1</v>
      </c>
      <c r="T21" s="8">
        <f t="shared" si="10"/>
        <v>5747000</v>
      </c>
      <c r="U21" s="8">
        <v>5029000</v>
      </c>
      <c r="V21" s="7">
        <v>1</v>
      </c>
      <c r="W21" s="8">
        <f t="shared" si="11"/>
        <v>5029000</v>
      </c>
    </row>
    <row r="22" spans="2:23">
      <c r="B22" s="7" t="s">
        <v>235</v>
      </c>
      <c r="C22" s="8">
        <v>7300</v>
      </c>
      <c r="D22" s="7">
        <v>0</v>
      </c>
      <c r="E22" s="8">
        <f t="shared" si="6"/>
        <v>0</v>
      </c>
      <c r="F22" s="8">
        <v>7300</v>
      </c>
      <c r="G22" s="23">
        <v>0</v>
      </c>
      <c r="H22" s="8">
        <f t="shared" si="7"/>
        <v>0</v>
      </c>
      <c r="I22" s="8">
        <v>7300</v>
      </c>
      <c r="J22" s="7">
        <v>0</v>
      </c>
      <c r="K22" s="8">
        <f t="shared" si="8"/>
        <v>0</v>
      </c>
      <c r="N22" s="7" t="s">
        <v>235</v>
      </c>
      <c r="O22" s="8">
        <v>4700</v>
      </c>
      <c r="P22" s="7">
        <v>0</v>
      </c>
      <c r="Q22" s="8">
        <f t="shared" si="9"/>
        <v>0</v>
      </c>
      <c r="R22" s="8">
        <v>4700</v>
      </c>
      <c r="S22" s="7">
        <v>0</v>
      </c>
      <c r="T22" s="8">
        <f t="shared" si="10"/>
        <v>0</v>
      </c>
      <c r="U22" s="8">
        <v>4700</v>
      </c>
      <c r="V22" s="7">
        <v>0</v>
      </c>
      <c r="W22" s="8">
        <f t="shared" si="11"/>
        <v>0</v>
      </c>
    </row>
    <row r="23" spans="2:23">
      <c r="B23" s="7" t="s">
        <v>236</v>
      </c>
      <c r="C23" s="8">
        <v>82600</v>
      </c>
      <c r="D23" s="7">
        <v>11</v>
      </c>
      <c r="E23" s="8">
        <f t="shared" si="6"/>
        <v>908600</v>
      </c>
      <c r="F23" s="8">
        <v>82600</v>
      </c>
      <c r="G23" s="7">
        <v>33</v>
      </c>
      <c r="H23" s="8">
        <f t="shared" si="7"/>
        <v>2725800</v>
      </c>
      <c r="I23" s="8">
        <v>82600</v>
      </c>
      <c r="J23" s="7">
        <v>12</v>
      </c>
      <c r="K23" s="8">
        <f t="shared" si="8"/>
        <v>991200</v>
      </c>
      <c r="N23" s="7" t="s">
        <v>236</v>
      </c>
      <c r="O23" s="8">
        <v>82600</v>
      </c>
      <c r="P23" s="7">
        <v>11</v>
      </c>
      <c r="Q23" s="8">
        <f t="shared" si="9"/>
        <v>908600</v>
      </c>
      <c r="R23" s="8">
        <v>82600</v>
      </c>
      <c r="S23" s="7">
        <v>33</v>
      </c>
      <c r="T23" s="8">
        <f t="shared" si="10"/>
        <v>2725800</v>
      </c>
      <c r="U23" s="8">
        <v>82600</v>
      </c>
      <c r="V23" s="7">
        <v>12</v>
      </c>
      <c r="W23" s="8">
        <f t="shared" si="11"/>
        <v>991200</v>
      </c>
    </row>
    <row r="24" spans="2:23">
      <c r="B24" s="7" t="s">
        <v>237</v>
      </c>
      <c r="C24" s="8">
        <v>1310000</v>
      </c>
      <c r="D24" s="7">
        <v>0</v>
      </c>
      <c r="E24" s="8">
        <f t="shared" si="6"/>
        <v>0</v>
      </c>
      <c r="F24" s="8">
        <v>1310000</v>
      </c>
      <c r="G24" s="7">
        <v>0</v>
      </c>
      <c r="H24" s="8">
        <f t="shared" si="7"/>
        <v>0</v>
      </c>
      <c r="I24" s="8">
        <v>1310000</v>
      </c>
      <c r="J24" s="7">
        <v>0</v>
      </c>
      <c r="K24" s="8">
        <f t="shared" si="8"/>
        <v>0</v>
      </c>
      <c r="N24" s="7" t="s">
        <v>237</v>
      </c>
      <c r="O24" s="8">
        <v>1070000</v>
      </c>
      <c r="P24" s="7">
        <v>0</v>
      </c>
      <c r="Q24" s="8">
        <f t="shared" si="9"/>
        <v>0</v>
      </c>
      <c r="R24" s="8">
        <v>1070000</v>
      </c>
      <c r="S24" s="7">
        <v>0</v>
      </c>
      <c r="T24" s="8">
        <f t="shared" si="10"/>
        <v>0</v>
      </c>
      <c r="U24" s="8">
        <v>1070000</v>
      </c>
      <c r="V24" s="7">
        <v>0</v>
      </c>
      <c r="W24" s="8">
        <f t="shared" si="11"/>
        <v>0</v>
      </c>
    </row>
    <row r="25" spans="2:23">
      <c r="B25" s="7" t="s">
        <v>238</v>
      </c>
      <c r="C25" s="8">
        <v>655000</v>
      </c>
      <c r="D25" s="7">
        <v>0</v>
      </c>
      <c r="E25" s="8">
        <f t="shared" si="6"/>
        <v>0</v>
      </c>
      <c r="F25" s="8">
        <v>655000</v>
      </c>
      <c r="G25" s="7">
        <v>0</v>
      </c>
      <c r="H25" s="8">
        <f t="shared" si="7"/>
        <v>0</v>
      </c>
      <c r="I25" s="8">
        <v>655000</v>
      </c>
      <c r="J25" s="7">
        <v>0</v>
      </c>
      <c r="K25" s="8">
        <f t="shared" si="8"/>
        <v>0</v>
      </c>
      <c r="N25" s="7" t="s">
        <v>238</v>
      </c>
      <c r="O25" s="8">
        <v>535000</v>
      </c>
      <c r="P25" s="7">
        <v>0</v>
      </c>
      <c r="Q25" s="8">
        <f t="shared" si="9"/>
        <v>0</v>
      </c>
      <c r="R25" s="8">
        <v>535000</v>
      </c>
      <c r="S25" s="7">
        <v>0</v>
      </c>
      <c r="T25" s="8">
        <f t="shared" si="10"/>
        <v>0</v>
      </c>
      <c r="U25" s="8">
        <v>535000</v>
      </c>
      <c r="V25" s="7">
        <v>0</v>
      </c>
      <c r="W25" s="8">
        <f t="shared" si="11"/>
        <v>0</v>
      </c>
    </row>
    <row r="26" spans="2:23">
      <c r="B26" s="7" t="s">
        <v>239</v>
      </c>
      <c r="C26" s="8">
        <v>420000</v>
      </c>
      <c r="D26" s="7">
        <v>0</v>
      </c>
      <c r="E26" s="8">
        <f t="shared" si="6"/>
        <v>0</v>
      </c>
      <c r="F26" s="8">
        <v>420000</v>
      </c>
      <c r="G26" s="7">
        <v>0</v>
      </c>
      <c r="H26" s="8">
        <f t="shared" si="7"/>
        <v>0</v>
      </c>
      <c r="I26" s="8">
        <v>420000</v>
      </c>
      <c r="J26" s="7">
        <v>0</v>
      </c>
      <c r="K26" s="8">
        <f t="shared" si="8"/>
        <v>0</v>
      </c>
      <c r="N26" s="7" t="s">
        <v>239</v>
      </c>
      <c r="O26" s="8">
        <v>420000</v>
      </c>
      <c r="P26" s="7">
        <v>0</v>
      </c>
      <c r="Q26" s="8">
        <f t="shared" si="9"/>
        <v>0</v>
      </c>
      <c r="R26" s="8">
        <v>420000</v>
      </c>
      <c r="S26" s="7">
        <v>0</v>
      </c>
      <c r="T26" s="8">
        <f t="shared" si="10"/>
        <v>0</v>
      </c>
      <c r="U26" s="8">
        <v>420000</v>
      </c>
      <c r="V26" s="7">
        <v>0</v>
      </c>
      <c r="W26" s="8">
        <f t="shared" si="11"/>
        <v>0</v>
      </c>
    </row>
    <row r="27" spans="2:23">
      <c r="B27" s="7" t="s">
        <v>240</v>
      </c>
      <c r="C27" s="8">
        <v>450000</v>
      </c>
      <c r="D27" s="7">
        <v>0</v>
      </c>
      <c r="E27" s="8">
        <f t="shared" si="6"/>
        <v>0</v>
      </c>
      <c r="F27" s="8">
        <v>450000</v>
      </c>
      <c r="G27" s="7">
        <v>0</v>
      </c>
      <c r="H27" s="8">
        <f t="shared" si="7"/>
        <v>0</v>
      </c>
      <c r="I27" s="8">
        <v>450000</v>
      </c>
      <c r="J27" s="7">
        <v>0</v>
      </c>
      <c r="K27" s="8">
        <f t="shared" si="8"/>
        <v>0</v>
      </c>
      <c r="N27" s="7" t="s">
        <v>240</v>
      </c>
      <c r="O27" s="8">
        <v>450000</v>
      </c>
      <c r="P27" s="7">
        <v>0</v>
      </c>
      <c r="Q27" s="8">
        <f t="shared" si="9"/>
        <v>0</v>
      </c>
      <c r="R27" s="8">
        <v>450000</v>
      </c>
      <c r="S27" s="7">
        <v>0</v>
      </c>
      <c r="T27" s="8">
        <f t="shared" si="10"/>
        <v>0</v>
      </c>
      <c r="U27" s="8">
        <v>450000</v>
      </c>
      <c r="V27" s="7">
        <v>0</v>
      </c>
      <c r="W27" s="8">
        <f t="shared" si="11"/>
        <v>0</v>
      </c>
    </row>
    <row r="28" spans="2:23">
      <c r="B28" s="7" t="s">
        <v>241</v>
      </c>
      <c r="C28" s="8">
        <v>240000</v>
      </c>
      <c r="D28" s="7">
        <v>0</v>
      </c>
      <c r="E28" s="8">
        <f t="shared" si="6"/>
        <v>0</v>
      </c>
      <c r="F28" s="8">
        <v>240000</v>
      </c>
      <c r="G28" s="7">
        <v>0</v>
      </c>
      <c r="H28" s="8">
        <f t="shared" si="7"/>
        <v>0</v>
      </c>
      <c r="I28" s="8">
        <v>240000</v>
      </c>
      <c r="J28" s="7">
        <v>0</v>
      </c>
      <c r="K28" s="8">
        <f t="shared" si="8"/>
        <v>0</v>
      </c>
      <c r="N28" s="7" t="s">
        <v>241</v>
      </c>
      <c r="O28" s="8">
        <v>240000</v>
      </c>
      <c r="P28" s="7">
        <v>0</v>
      </c>
      <c r="Q28" s="8">
        <f t="shared" si="9"/>
        <v>0</v>
      </c>
      <c r="R28" s="8">
        <v>240000</v>
      </c>
      <c r="S28" s="7">
        <v>0</v>
      </c>
      <c r="T28" s="8">
        <f t="shared" si="10"/>
        <v>0</v>
      </c>
      <c r="U28" s="8">
        <v>240000</v>
      </c>
      <c r="V28" s="7">
        <v>0</v>
      </c>
      <c r="W28" s="8">
        <f t="shared" si="11"/>
        <v>0</v>
      </c>
    </row>
    <row r="29" spans="2:23" s="1" customFormat="1">
      <c r="B29" s="9"/>
      <c r="C29" s="9"/>
      <c r="D29" s="6" t="s">
        <v>48</v>
      </c>
      <c r="E29" s="10">
        <f>SUM(E20:E28)</f>
        <v>44264590</v>
      </c>
      <c r="F29" s="9"/>
      <c r="G29" s="6" t="s">
        <v>48</v>
      </c>
      <c r="H29" s="10">
        <f>SUM(H20:H28)</f>
        <v>48585800</v>
      </c>
      <c r="I29" s="9"/>
      <c r="J29" s="6" t="s">
        <v>48</v>
      </c>
      <c r="K29" s="10">
        <f>SUM(K20:K28)</f>
        <v>45782200</v>
      </c>
      <c r="N29" s="9"/>
      <c r="O29" s="9"/>
      <c r="P29" s="6" t="s">
        <v>48</v>
      </c>
      <c r="Q29" s="10">
        <f>SUM(Q20:Q28)</f>
        <v>44264590</v>
      </c>
      <c r="R29" s="9"/>
      <c r="S29" s="6" t="s">
        <v>48</v>
      </c>
      <c r="T29" s="15">
        <f>SUM(T20:T28)</f>
        <v>48585800</v>
      </c>
      <c r="U29" s="9"/>
      <c r="V29" s="6" t="s">
        <v>48</v>
      </c>
      <c r="W29" s="10">
        <f>SUM(W20:W28)</f>
        <v>45782200</v>
      </c>
    </row>
    <row r="30" spans="2:23">
      <c r="J30" s="14" t="s">
        <v>20</v>
      </c>
      <c r="K30" s="14">
        <f>(E29+H29+K29)/3</f>
        <v>46210863.333333336</v>
      </c>
      <c r="V30" s="14" t="s">
        <v>20</v>
      </c>
      <c r="W30" s="14">
        <f>(Q29+T29+W29)/3</f>
        <v>46210863.333333336</v>
      </c>
    </row>
    <row r="33" spans="2:23">
      <c r="K33" s="14"/>
      <c r="W33" s="14"/>
    </row>
    <row r="34" spans="2:23">
      <c r="B34" s="354" t="s">
        <v>7</v>
      </c>
      <c r="C34" s="268" t="s">
        <v>10</v>
      </c>
      <c r="D34" s="347"/>
      <c r="E34" s="269"/>
      <c r="F34" s="268" t="s">
        <v>15</v>
      </c>
      <c r="G34" s="347"/>
      <c r="H34" s="269"/>
      <c r="I34" s="268" t="s">
        <v>17</v>
      </c>
      <c r="J34" s="347"/>
      <c r="K34" s="269"/>
      <c r="N34" s="354" t="s">
        <v>7</v>
      </c>
      <c r="O34" s="268" t="s">
        <v>10</v>
      </c>
      <c r="P34" s="347"/>
      <c r="Q34" s="269"/>
      <c r="R34" s="268" t="s">
        <v>15</v>
      </c>
      <c r="S34" s="347"/>
      <c r="T34" s="269"/>
      <c r="U34" s="268" t="s">
        <v>17</v>
      </c>
      <c r="V34" s="347"/>
      <c r="W34" s="269"/>
    </row>
    <row r="35" spans="2:23">
      <c r="B35" s="355"/>
      <c r="C35" s="5" t="s">
        <v>180</v>
      </c>
      <c r="D35" s="6" t="s">
        <v>41</v>
      </c>
      <c r="E35" s="6" t="s">
        <v>44</v>
      </c>
      <c r="F35" s="5" t="s">
        <v>180</v>
      </c>
      <c r="G35" s="6" t="s">
        <v>41</v>
      </c>
      <c r="H35" s="6" t="s">
        <v>44</v>
      </c>
      <c r="I35" s="5" t="s">
        <v>180</v>
      </c>
      <c r="J35" s="6" t="s">
        <v>41</v>
      </c>
      <c r="K35" s="6" t="s">
        <v>44</v>
      </c>
      <c r="N35" s="355"/>
      <c r="O35" s="5" t="s">
        <v>180</v>
      </c>
      <c r="P35" s="6" t="s">
        <v>41</v>
      </c>
      <c r="Q35" s="6" t="s">
        <v>44</v>
      </c>
      <c r="R35" s="5" t="s">
        <v>180</v>
      </c>
      <c r="S35" s="6" t="s">
        <v>41</v>
      </c>
      <c r="T35" s="6" t="s">
        <v>44</v>
      </c>
      <c r="U35" s="5" t="s">
        <v>180</v>
      </c>
      <c r="V35" s="6" t="s">
        <v>41</v>
      </c>
      <c r="W35" s="6" t="s">
        <v>44</v>
      </c>
    </row>
    <row r="36" spans="2:23">
      <c r="B36" s="7" t="s">
        <v>233</v>
      </c>
      <c r="C36" s="8">
        <v>39214760</v>
      </c>
      <c r="D36" s="7">
        <v>1</v>
      </c>
      <c r="E36" s="8">
        <f t="shared" ref="E36:E44" si="12">+C36*D36</f>
        <v>39214760</v>
      </c>
      <c r="F36" s="8">
        <v>39691764</v>
      </c>
      <c r="G36" s="7">
        <v>1</v>
      </c>
      <c r="H36" s="8">
        <f t="shared" ref="H36:H44" si="13">+F36*G36</f>
        <v>39691764</v>
      </c>
      <c r="I36" s="8">
        <v>39691764</v>
      </c>
      <c r="J36" s="7">
        <v>1</v>
      </c>
      <c r="K36" s="8">
        <f t="shared" ref="K36:K44" si="14">+I36*J36</f>
        <v>39691764</v>
      </c>
      <c r="N36" s="7" t="s">
        <v>233</v>
      </c>
      <c r="O36" s="8">
        <v>39214760</v>
      </c>
      <c r="P36" s="7">
        <v>1</v>
      </c>
      <c r="Q36" s="8">
        <f t="shared" ref="Q36:Q44" si="15">+O36*P36</f>
        <v>39214760</v>
      </c>
      <c r="R36" s="8">
        <v>39691764</v>
      </c>
      <c r="S36" s="7">
        <v>1</v>
      </c>
      <c r="T36" s="8">
        <f t="shared" ref="T36:T44" si="16">+R36*S36</f>
        <v>39691764</v>
      </c>
      <c r="U36" s="8">
        <v>39691764</v>
      </c>
      <c r="V36" s="7">
        <v>1</v>
      </c>
      <c r="W36" s="8">
        <f t="shared" ref="W36:W44" si="17">+U36*V36</f>
        <v>39691764</v>
      </c>
    </row>
    <row r="37" spans="2:23">
      <c r="B37" s="7" t="s">
        <v>234</v>
      </c>
      <c r="C37" s="8">
        <v>2873520</v>
      </c>
      <c r="D37" s="7">
        <v>1</v>
      </c>
      <c r="E37" s="8">
        <f t="shared" si="12"/>
        <v>2873520</v>
      </c>
      <c r="F37" s="8">
        <v>5747040</v>
      </c>
      <c r="G37" s="7">
        <v>1</v>
      </c>
      <c r="H37" s="8">
        <f t="shared" si="13"/>
        <v>5747040</v>
      </c>
      <c r="I37" s="8">
        <v>5747040</v>
      </c>
      <c r="J37" s="7">
        <v>1</v>
      </c>
      <c r="K37" s="8">
        <f t="shared" si="14"/>
        <v>5747040</v>
      </c>
      <c r="N37" s="7" t="s">
        <v>234</v>
      </c>
      <c r="O37" s="8">
        <v>2873520</v>
      </c>
      <c r="P37" s="7">
        <v>1</v>
      </c>
      <c r="Q37" s="8">
        <f t="shared" si="15"/>
        <v>2873520</v>
      </c>
      <c r="R37" s="8">
        <v>5747040</v>
      </c>
      <c r="S37" s="7">
        <v>1</v>
      </c>
      <c r="T37" s="8">
        <f t="shared" si="16"/>
        <v>5747040</v>
      </c>
      <c r="U37" s="8">
        <v>5747040</v>
      </c>
      <c r="V37" s="7">
        <v>1</v>
      </c>
      <c r="W37" s="8">
        <f t="shared" si="17"/>
        <v>5747040</v>
      </c>
    </row>
    <row r="38" spans="2:23">
      <c r="B38" s="7" t="s">
        <v>235</v>
      </c>
      <c r="C38" s="8">
        <v>9000</v>
      </c>
      <c r="D38" s="7">
        <v>0</v>
      </c>
      <c r="E38" s="8">
        <f t="shared" si="12"/>
        <v>0</v>
      </c>
      <c r="F38" s="8">
        <v>9000</v>
      </c>
      <c r="G38" s="7">
        <v>0</v>
      </c>
      <c r="H38" s="8">
        <f t="shared" si="13"/>
        <v>0</v>
      </c>
      <c r="I38" s="8">
        <v>9000</v>
      </c>
      <c r="J38" s="7">
        <v>0</v>
      </c>
      <c r="K38" s="8">
        <f t="shared" si="14"/>
        <v>0</v>
      </c>
      <c r="N38" s="7" t="s">
        <v>235</v>
      </c>
      <c r="O38" s="8">
        <v>7000</v>
      </c>
      <c r="P38" s="7">
        <v>0</v>
      </c>
      <c r="Q38" s="8">
        <f t="shared" si="15"/>
        <v>0</v>
      </c>
      <c r="R38" s="8">
        <v>7000</v>
      </c>
      <c r="S38" s="7">
        <v>0</v>
      </c>
      <c r="T38" s="8">
        <f t="shared" si="16"/>
        <v>0</v>
      </c>
      <c r="U38" s="8">
        <v>7000</v>
      </c>
      <c r="V38" s="7">
        <v>0</v>
      </c>
      <c r="W38" s="8">
        <f t="shared" si="17"/>
        <v>0</v>
      </c>
    </row>
    <row r="39" spans="2:23">
      <c r="B39" s="7" t="s">
        <v>236</v>
      </c>
      <c r="C39" s="8">
        <v>80000</v>
      </c>
      <c r="D39" s="7">
        <v>11</v>
      </c>
      <c r="E39" s="8">
        <f t="shared" si="12"/>
        <v>880000</v>
      </c>
      <c r="F39" s="8">
        <v>80000</v>
      </c>
      <c r="G39" s="7">
        <v>33</v>
      </c>
      <c r="H39" s="8">
        <f t="shared" si="13"/>
        <v>2640000</v>
      </c>
      <c r="I39" s="8">
        <v>80000</v>
      </c>
      <c r="J39" s="7">
        <v>12</v>
      </c>
      <c r="K39" s="8">
        <f t="shared" si="14"/>
        <v>960000</v>
      </c>
      <c r="N39" s="7" t="s">
        <v>236</v>
      </c>
      <c r="O39" s="8">
        <v>80000</v>
      </c>
      <c r="P39" s="7">
        <v>11</v>
      </c>
      <c r="Q39" s="8">
        <f t="shared" si="15"/>
        <v>880000</v>
      </c>
      <c r="R39" s="8">
        <v>80000</v>
      </c>
      <c r="S39" s="7">
        <v>33</v>
      </c>
      <c r="T39" s="8">
        <f t="shared" si="16"/>
        <v>2640000</v>
      </c>
      <c r="U39" s="8">
        <v>80000</v>
      </c>
      <c r="V39" s="7">
        <v>12</v>
      </c>
      <c r="W39" s="8">
        <f t="shared" si="17"/>
        <v>960000</v>
      </c>
    </row>
    <row r="40" spans="2:23">
      <c r="B40" s="7" t="s">
        <v>237</v>
      </c>
      <c r="C40" s="8">
        <v>1600000</v>
      </c>
      <c r="D40" s="7">
        <v>0</v>
      </c>
      <c r="E40" s="8">
        <f t="shared" si="12"/>
        <v>0</v>
      </c>
      <c r="F40" s="8">
        <v>1600000</v>
      </c>
      <c r="G40" s="7">
        <v>0</v>
      </c>
      <c r="H40" s="8">
        <f t="shared" si="13"/>
        <v>0</v>
      </c>
      <c r="I40" s="8">
        <v>1600000</v>
      </c>
      <c r="J40" s="7">
        <v>0</v>
      </c>
      <c r="K40" s="8">
        <f t="shared" si="14"/>
        <v>0</v>
      </c>
      <c r="N40" s="7" t="s">
        <v>237</v>
      </c>
      <c r="O40" s="8">
        <v>1300000</v>
      </c>
      <c r="P40" s="7">
        <v>0</v>
      </c>
      <c r="Q40" s="8">
        <f t="shared" si="15"/>
        <v>0</v>
      </c>
      <c r="R40" s="8">
        <v>1300000</v>
      </c>
      <c r="S40" s="7">
        <v>0</v>
      </c>
      <c r="T40" s="8">
        <f t="shared" si="16"/>
        <v>0</v>
      </c>
      <c r="U40" s="8">
        <v>1300000</v>
      </c>
      <c r="V40" s="7">
        <v>0</v>
      </c>
      <c r="W40" s="8">
        <f t="shared" si="17"/>
        <v>0</v>
      </c>
    </row>
    <row r="41" spans="2:23">
      <c r="B41" s="7" t="s">
        <v>238</v>
      </c>
      <c r="C41" s="8">
        <v>1100000</v>
      </c>
      <c r="D41" s="7">
        <v>0</v>
      </c>
      <c r="E41" s="8">
        <f t="shared" si="12"/>
        <v>0</v>
      </c>
      <c r="F41" s="8">
        <v>1100000</v>
      </c>
      <c r="G41" s="7">
        <v>0</v>
      </c>
      <c r="H41" s="8">
        <f t="shared" si="13"/>
        <v>0</v>
      </c>
      <c r="I41" s="8">
        <v>1100000</v>
      </c>
      <c r="J41" s="7">
        <v>0</v>
      </c>
      <c r="K41" s="8">
        <f t="shared" si="14"/>
        <v>0</v>
      </c>
      <c r="N41" s="7" t="s">
        <v>238</v>
      </c>
      <c r="O41" s="8">
        <v>1000000</v>
      </c>
      <c r="P41" s="7">
        <v>0</v>
      </c>
      <c r="Q41" s="8">
        <f t="shared" si="15"/>
        <v>0</v>
      </c>
      <c r="R41" s="8">
        <v>1000000</v>
      </c>
      <c r="S41" s="7">
        <v>0</v>
      </c>
      <c r="T41" s="8">
        <f t="shared" si="16"/>
        <v>0</v>
      </c>
      <c r="U41" s="8">
        <v>1000000</v>
      </c>
      <c r="V41" s="7">
        <v>0</v>
      </c>
      <c r="W41" s="8">
        <f t="shared" si="17"/>
        <v>0</v>
      </c>
    </row>
    <row r="42" spans="2:23">
      <c r="B42" s="7" t="s">
        <v>239</v>
      </c>
      <c r="C42" s="8">
        <v>300000</v>
      </c>
      <c r="D42" s="7">
        <v>0</v>
      </c>
      <c r="E42" s="8">
        <f t="shared" si="12"/>
        <v>0</v>
      </c>
      <c r="F42" s="8">
        <v>300000</v>
      </c>
      <c r="G42" s="7">
        <v>0</v>
      </c>
      <c r="H42" s="8">
        <f t="shared" si="13"/>
        <v>0</v>
      </c>
      <c r="I42" s="8">
        <v>300000</v>
      </c>
      <c r="J42" s="7">
        <v>0</v>
      </c>
      <c r="K42" s="8">
        <f t="shared" si="14"/>
        <v>0</v>
      </c>
      <c r="N42" s="7" t="s">
        <v>239</v>
      </c>
      <c r="O42" s="8">
        <v>300000</v>
      </c>
      <c r="P42" s="7">
        <v>0</v>
      </c>
      <c r="Q42" s="8">
        <f t="shared" si="15"/>
        <v>0</v>
      </c>
      <c r="R42" s="8">
        <v>300000</v>
      </c>
      <c r="S42" s="7">
        <v>0</v>
      </c>
      <c r="T42" s="8">
        <f t="shared" si="16"/>
        <v>0</v>
      </c>
      <c r="U42" s="8">
        <v>300000</v>
      </c>
      <c r="V42" s="7">
        <v>0</v>
      </c>
      <c r="W42" s="8">
        <f t="shared" si="17"/>
        <v>0</v>
      </c>
    </row>
    <row r="43" spans="2:23">
      <c r="B43" s="7" t="s">
        <v>240</v>
      </c>
      <c r="C43" s="8">
        <v>500000</v>
      </c>
      <c r="D43" s="7">
        <v>0</v>
      </c>
      <c r="E43" s="8">
        <f t="shared" si="12"/>
        <v>0</v>
      </c>
      <c r="F43" s="8">
        <v>500000</v>
      </c>
      <c r="G43" s="7">
        <v>0</v>
      </c>
      <c r="H43" s="8">
        <f t="shared" si="13"/>
        <v>0</v>
      </c>
      <c r="I43" s="8">
        <v>500000</v>
      </c>
      <c r="J43" s="7">
        <v>0</v>
      </c>
      <c r="K43" s="8">
        <f t="shared" si="14"/>
        <v>0</v>
      </c>
      <c r="N43" s="7" t="s">
        <v>240</v>
      </c>
      <c r="O43" s="8">
        <v>500000</v>
      </c>
      <c r="P43" s="7">
        <v>0</v>
      </c>
      <c r="Q43" s="8">
        <f t="shared" si="15"/>
        <v>0</v>
      </c>
      <c r="R43" s="8">
        <v>500000</v>
      </c>
      <c r="S43" s="7">
        <v>0</v>
      </c>
      <c r="T43" s="8">
        <f t="shared" si="16"/>
        <v>0</v>
      </c>
      <c r="U43" s="8">
        <v>500000</v>
      </c>
      <c r="V43" s="7">
        <v>0</v>
      </c>
      <c r="W43" s="8">
        <f t="shared" si="17"/>
        <v>0</v>
      </c>
    </row>
    <row r="44" spans="2:23">
      <c r="B44" s="7" t="s">
        <v>241</v>
      </c>
      <c r="C44" s="8">
        <v>810000</v>
      </c>
      <c r="D44" s="7">
        <v>0</v>
      </c>
      <c r="E44" s="8">
        <f t="shared" si="12"/>
        <v>0</v>
      </c>
      <c r="F44" s="8">
        <v>810000</v>
      </c>
      <c r="G44" s="7">
        <v>0</v>
      </c>
      <c r="H44" s="8">
        <f t="shared" si="13"/>
        <v>0</v>
      </c>
      <c r="I44" s="8">
        <v>810000</v>
      </c>
      <c r="J44" s="7">
        <v>0</v>
      </c>
      <c r="K44" s="8">
        <f t="shared" si="14"/>
        <v>0</v>
      </c>
      <c r="N44" s="7" t="s">
        <v>241</v>
      </c>
      <c r="O44" s="8">
        <v>630000</v>
      </c>
      <c r="P44" s="7">
        <v>0</v>
      </c>
      <c r="Q44" s="8">
        <f t="shared" si="15"/>
        <v>0</v>
      </c>
      <c r="R44" s="8">
        <v>630000</v>
      </c>
      <c r="S44" s="7">
        <v>0</v>
      </c>
      <c r="T44" s="8">
        <f t="shared" si="16"/>
        <v>0</v>
      </c>
      <c r="U44" s="8">
        <v>630000</v>
      </c>
      <c r="V44" s="7">
        <v>0</v>
      </c>
      <c r="W44" s="8">
        <f t="shared" si="17"/>
        <v>0</v>
      </c>
    </row>
    <row r="45" spans="2:23">
      <c r="B45" s="9"/>
      <c r="C45" s="9"/>
      <c r="D45" s="6" t="s">
        <v>48</v>
      </c>
      <c r="E45" s="10">
        <f>SUM(E36:E44)</f>
        <v>42968280</v>
      </c>
      <c r="F45" s="9"/>
      <c r="G45" s="6" t="s">
        <v>48</v>
      </c>
      <c r="H45" s="17">
        <f>SUM(H36:H44)</f>
        <v>48078804</v>
      </c>
      <c r="I45" s="9"/>
      <c r="J45" s="6" t="s">
        <v>48</v>
      </c>
      <c r="K45" s="10">
        <f>SUM(K36:K44)</f>
        <v>46398804</v>
      </c>
      <c r="N45" s="9"/>
      <c r="O45" s="9"/>
      <c r="P45" s="6" t="s">
        <v>48</v>
      </c>
      <c r="Q45" s="10">
        <f>SUM(Q36:Q44)</f>
        <v>42968280</v>
      </c>
      <c r="R45" s="9"/>
      <c r="S45" s="6" t="s">
        <v>48</v>
      </c>
      <c r="T45" s="17">
        <f>SUM(T36:T44)</f>
        <v>48078804</v>
      </c>
      <c r="U45" s="9"/>
      <c r="V45" s="6" t="s">
        <v>48</v>
      </c>
      <c r="W45" s="10">
        <f>SUM(W36:W44)</f>
        <v>46398804</v>
      </c>
    </row>
    <row r="46" spans="2:23">
      <c r="J46" s="14" t="s">
        <v>20</v>
      </c>
      <c r="K46" s="14">
        <f>(E45+H45+K45)/3</f>
        <v>45815296</v>
      </c>
      <c r="V46" s="14" t="s">
        <v>20</v>
      </c>
      <c r="W46" s="14">
        <f>(Q45+T45+W45)/3</f>
        <v>45815296</v>
      </c>
    </row>
    <row r="49" spans="2:23" hidden="1">
      <c r="B49" s="354" t="s">
        <v>7</v>
      </c>
      <c r="C49" s="268" t="s">
        <v>10</v>
      </c>
      <c r="D49" s="347"/>
      <c r="E49" s="269"/>
      <c r="F49" s="268" t="s">
        <v>15</v>
      </c>
      <c r="G49" s="347"/>
      <c r="H49" s="269"/>
      <c r="I49" s="268" t="s">
        <v>17</v>
      </c>
      <c r="J49" s="347"/>
      <c r="K49" s="269"/>
      <c r="N49" s="354" t="s">
        <v>7</v>
      </c>
      <c r="O49" s="268" t="s">
        <v>10</v>
      </c>
      <c r="P49" s="347"/>
      <c r="Q49" s="269"/>
      <c r="R49" s="268" t="s">
        <v>15</v>
      </c>
      <c r="S49" s="347"/>
      <c r="T49" s="269"/>
      <c r="U49" s="268" t="s">
        <v>17</v>
      </c>
      <c r="V49" s="347"/>
      <c r="W49" s="269"/>
    </row>
    <row r="50" spans="2:23" hidden="1">
      <c r="B50" s="355"/>
      <c r="C50" s="5" t="s">
        <v>180</v>
      </c>
      <c r="D50" s="6" t="s">
        <v>41</v>
      </c>
      <c r="E50" s="6" t="s">
        <v>44</v>
      </c>
      <c r="F50" s="5" t="s">
        <v>180</v>
      </c>
      <c r="G50" s="6" t="s">
        <v>41</v>
      </c>
      <c r="H50" s="6" t="s">
        <v>44</v>
      </c>
      <c r="I50" s="5" t="s">
        <v>180</v>
      </c>
      <c r="J50" s="6" t="s">
        <v>41</v>
      </c>
      <c r="K50" s="6" t="s">
        <v>44</v>
      </c>
      <c r="N50" s="355"/>
      <c r="O50" s="5" t="s">
        <v>180</v>
      </c>
      <c r="P50" s="6" t="s">
        <v>41</v>
      </c>
      <c r="Q50" s="6" t="s">
        <v>44</v>
      </c>
      <c r="R50" s="5" t="s">
        <v>180</v>
      </c>
      <c r="S50" s="6" t="s">
        <v>41</v>
      </c>
      <c r="T50" s="6" t="s">
        <v>44</v>
      </c>
      <c r="U50" s="5" t="s">
        <v>180</v>
      </c>
      <c r="V50" s="6" t="s">
        <v>41</v>
      </c>
      <c r="W50" s="6" t="s">
        <v>44</v>
      </c>
    </row>
    <row r="51" spans="2:23" hidden="1">
      <c r="B51" s="7" t="s">
        <v>233</v>
      </c>
      <c r="C51" s="8"/>
      <c r="D51" s="7">
        <v>1</v>
      </c>
      <c r="E51" s="8">
        <f t="shared" ref="E51:E59" si="18">+C51*D51</f>
        <v>0</v>
      </c>
      <c r="F51" s="13"/>
      <c r="G51" s="7">
        <v>1</v>
      </c>
      <c r="H51" s="8">
        <f t="shared" ref="H51:H59" si="19">+F51*G51</f>
        <v>0</v>
      </c>
      <c r="I51" s="8"/>
      <c r="J51" s="7">
        <v>1</v>
      </c>
      <c r="K51" s="8">
        <f t="shared" ref="K51:K59" si="20">+I51*J51</f>
        <v>0</v>
      </c>
      <c r="N51" s="7" t="s">
        <v>233</v>
      </c>
      <c r="O51" s="8"/>
      <c r="P51" s="7">
        <v>1</v>
      </c>
      <c r="Q51" s="8">
        <f t="shared" ref="Q51:Q59" si="21">+O51*P51</f>
        <v>0</v>
      </c>
      <c r="R51" s="8"/>
      <c r="S51" s="7">
        <v>1</v>
      </c>
      <c r="T51" s="8">
        <f t="shared" ref="T51:T59" si="22">+R51*S51</f>
        <v>0</v>
      </c>
      <c r="U51" s="8"/>
      <c r="V51" s="7">
        <v>1</v>
      </c>
      <c r="W51" s="8">
        <f t="shared" ref="W51:W59" si="23">+U51*V51</f>
        <v>0</v>
      </c>
    </row>
    <row r="52" spans="2:23" hidden="1">
      <c r="B52" s="7" t="s">
        <v>234</v>
      </c>
      <c r="C52" s="8"/>
      <c r="D52" s="7">
        <v>1</v>
      </c>
      <c r="E52" s="8">
        <f t="shared" si="18"/>
        <v>0</v>
      </c>
      <c r="F52" s="13"/>
      <c r="G52" s="7">
        <v>1</v>
      </c>
      <c r="H52" s="8">
        <f t="shared" si="19"/>
        <v>0</v>
      </c>
      <c r="I52" s="8"/>
      <c r="J52" s="7">
        <v>1</v>
      </c>
      <c r="K52" s="8">
        <f t="shared" si="20"/>
        <v>0</v>
      </c>
      <c r="N52" s="7" t="s">
        <v>234</v>
      </c>
      <c r="O52" s="8"/>
      <c r="P52" s="7">
        <v>1</v>
      </c>
      <c r="Q52" s="8">
        <f t="shared" si="21"/>
        <v>0</v>
      </c>
      <c r="R52" s="8"/>
      <c r="S52" s="7">
        <v>1</v>
      </c>
      <c r="T52" s="8">
        <f t="shared" si="22"/>
        <v>0</v>
      </c>
      <c r="U52" s="8"/>
      <c r="V52" s="7">
        <v>1</v>
      </c>
      <c r="W52" s="8">
        <f t="shared" si="23"/>
        <v>0</v>
      </c>
    </row>
    <row r="53" spans="2:23" hidden="1">
      <c r="B53" s="7" t="s">
        <v>235</v>
      </c>
      <c r="C53" s="8"/>
      <c r="D53" s="7">
        <v>0</v>
      </c>
      <c r="E53" s="8">
        <f t="shared" si="18"/>
        <v>0</v>
      </c>
      <c r="F53" s="13"/>
      <c r="G53" s="7">
        <v>0</v>
      </c>
      <c r="H53" s="8">
        <f t="shared" si="19"/>
        <v>0</v>
      </c>
      <c r="I53" s="8"/>
      <c r="J53" s="7">
        <v>0</v>
      </c>
      <c r="K53" s="8">
        <f t="shared" si="20"/>
        <v>0</v>
      </c>
      <c r="N53" s="7" t="s">
        <v>235</v>
      </c>
      <c r="O53" s="8"/>
      <c r="P53" s="7">
        <v>0</v>
      </c>
      <c r="Q53" s="8">
        <f t="shared" si="21"/>
        <v>0</v>
      </c>
      <c r="R53" s="8"/>
      <c r="S53" s="7">
        <v>0</v>
      </c>
      <c r="T53" s="8">
        <f t="shared" si="22"/>
        <v>0</v>
      </c>
      <c r="U53" s="8"/>
      <c r="V53" s="7">
        <v>0</v>
      </c>
      <c r="W53" s="8">
        <f t="shared" si="23"/>
        <v>0</v>
      </c>
    </row>
    <row r="54" spans="2:23" hidden="1">
      <c r="B54" s="7" t="s">
        <v>236</v>
      </c>
      <c r="C54" s="8"/>
      <c r="D54" s="7">
        <v>11</v>
      </c>
      <c r="E54" s="8">
        <f t="shared" si="18"/>
        <v>0</v>
      </c>
      <c r="F54" s="13"/>
      <c r="G54" s="7">
        <v>33</v>
      </c>
      <c r="H54" s="8">
        <f t="shared" si="19"/>
        <v>0</v>
      </c>
      <c r="I54" s="8"/>
      <c r="J54" s="7">
        <v>12</v>
      </c>
      <c r="K54" s="8">
        <f t="shared" si="20"/>
        <v>0</v>
      </c>
      <c r="N54" s="7" t="s">
        <v>236</v>
      </c>
      <c r="O54" s="8"/>
      <c r="P54" s="7">
        <v>11</v>
      </c>
      <c r="Q54" s="8">
        <f t="shared" si="21"/>
        <v>0</v>
      </c>
      <c r="R54" s="8"/>
      <c r="S54" s="7">
        <v>33</v>
      </c>
      <c r="T54" s="8">
        <f t="shared" si="22"/>
        <v>0</v>
      </c>
      <c r="U54" s="8"/>
      <c r="V54" s="7">
        <v>12</v>
      </c>
      <c r="W54" s="8">
        <f t="shared" si="23"/>
        <v>0</v>
      </c>
    </row>
    <row r="55" spans="2:23" hidden="1">
      <c r="B55" s="7" t="s">
        <v>237</v>
      </c>
      <c r="C55" s="8"/>
      <c r="D55" s="7">
        <v>1</v>
      </c>
      <c r="E55" s="8">
        <f t="shared" si="18"/>
        <v>0</v>
      </c>
      <c r="F55" s="13"/>
      <c r="G55" s="7">
        <v>1</v>
      </c>
      <c r="H55" s="8">
        <f t="shared" si="19"/>
        <v>0</v>
      </c>
      <c r="I55" s="8"/>
      <c r="J55" s="7">
        <v>1</v>
      </c>
      <c r="K55" s="8">
        <f t="shared" si="20"/>
        <v>0</v>
      </c>
      <c r="N55" s="7" t="s">
        <v>237</v>
      </c>
      <c r="O55" s="8"/>
      <c r="P55" s="7">
        <v>1</v>
      </c>
      <c r="Q55" s="8">
        <f t="shared" si="21"/>
        <v>0</v>
      </c>
      <c r="R55" s="8"/>
      <c r="S55" s="7">
        <v>1</v>
      </c>
      <c r="T55" s="8">
        <f t="shared" si="22"/>
        <v>0</v>
      </c>
      <c r="U55" s="8"/>
      <c r="V55" s="7">
        <v>1</v>
      </c>
      <c r="W55" s="8">
        <f t="shared" si="23"/>
        <v>0</v>
      </c>
    </row>
    <row r="56" spans="2:23" hidden="1">
      <c r="B56" s="7" t="s">
        <v>238</v>
      </c>
      <c r="C56" s="8"/>
      <c r="D56" s="7">
        <v>1</v>
      </c>
      <c r="E56" s="8">
        <f t="shared" si="18"/>
        <v>0</v>
      </c>
      <c r="F56" s="13"/>
      <c r="G56" s="7">
        <v>1</v>
      </c>
      <c r="H56" s="8">
        <f t="shared" si="19"/>
        <v>0</v>
      </c>
      <c r="I56" s="8"/>
      <c r="J56" s="7">
        <v>1</v>
      </c>
      <c r="K56" s="8">
        <f t="shared" si="20"/>
        <v>0</v>
      </c>
      <c r="N56" s="7" t="s">
        <v>238</v>
      </c>
      <c r="O56" s="8"/>
      <c r="P56" s="7">
        <v>1</v>
      </c>
      <c r="Q56" s="8">
        <f t="shared" si="21"/>
        <v>0</v>
      </c>
      <c r="R56" s="8"/>
      <c r="S56" s="7">
        <v>1</v>
      </c>
      <c r="T56" s="8">
        <f t="shared" si="22"/>
        <v>0</v>
      </c>
      <c r="U56" s="8"/>
      <c r="V56" s="7">
        <v>1</v>
      </c>
      <c r="W56" s="8">
        <f t="shared" si="23"/>
        <v>0</v>
      </c>
    </row>
    <row r="57" spans="2:23" hidden="1">
      <c r="B57" s="7" t="s">
        <v>239</v>
      </c>
      <c r="C57" s="8"/>
      <c r="D57" s="7">
        <v>1</v>
      </c>
      <c r="E57" s="8">
        <f t="shared" si="18"/>
        <v>0</v>
      </c>
      <c r="F57" s="13"/>
      <c r="G57" s="7">
        <v>1</v>
      </c>
      <c r="H57" s="8">
        <f t="shared" si="19"/>
        <v>0</v>
      </c>
      <c r="I57" s="8"/>
      <c r="J57" s="7">
        <v>1</v>
      </c>
      <c r="K57" s="8">
        <f t="shared" si="20"/>
        <v>0</v>
      </c>
      <c r="N57" s="7" t="s">
        <v>239</v>
      </c>
      <c r="O57" s="8"/>
      <c r="P57" s="7">
        <v>1</v>
      </c>
      <c r="Q57" s="8">
        <f t="shared" si="21"/>
        <v>0</v>
      </c>
      <c r="R57" s="8"/>
      <c r="S57" s="7">
        <v>1</v>
      </c>
      <c r="T57" s="8">
        <f t="shared" si="22"/>
        <v>0</v>
      </c>
      <c r="U57" s="8"/>
      <c r="V57" s="7">
        <v>1</v>
      </c>
      <c r="W57" s="8">
        <f t="shared" si="23"/>
        <v>0</v>
      </c>
    </row>
    <row r="58" spans="2:23" hidden="1">
      <c r="B58" s="7" t="s">
        <v>240</v>
      </c>
      <c r="C58" s="8"/>
      <c r="D58" s="7">
        <v>1</v>
      </c>
      <c r="E58" s="8">
        <f t="shared" si="18"/>
        <v>0</v>
      </c>
      <c r="F58" s="13"/>
      <c r="G58" s="7">
        <v>1</v>
      </c>
      <c r="H58" s="8">
        <f t="shared" si="19"/>
        <v>0</v>
      </c>
      <c r="I58" s="8"/>
      <c r="J58" s="7">
        <v>1</v>
      </c>
      <c r="K58" s="8">
        <f t="shared" si="20"/>
        <v>0</v>
      </c>
      <c r="N58" s="7" t="s">
        <v>240</v>
      </c>
      <c r="O58" s="8"/>
      <c r="P58" s="7">
        <v>1</v>
      </c>
      <c r="Q58" s="8">
        <f t="shared" si="21"/>
        <v>0</v>
      </c>
      <c r="R58" s="8"/>
      <c r="S58" s="7">
        <v>1</v>
      </c>
      <c r="T58" s="8">
        <f t="shared" si="22"/>
        <v>0</v>
      </c>
      <c r="U58" s="8"/>
      <c r="V58" s="7">
        <v>1</v>
      </c>
      <c r="W58" s="8">
        <f t="shared" si="23"/>
        <v>0</v>
      </c>
    </row>
    <row r="59" spans="2:23" hidden="1">
      <c r="B59" s="7" t="s">
        <v>241</v>
      </c>
      <c r="C59" s="8"/>
      <c r="D59" s="7">
        <v>0</v>
      </c>
      <c r="E59" s="8">
        <f t="shared" si="18"/>
        <v>0</v>
      </c>
      <c r="F59" s="13"/>
      <c r="G59" s="7">
        <v>0</v>
      </c>
      <c r="H59" s="8">
        <f t="shared" si="19"/>
        <v>0</v>
      </c>
      <c r="I59" s="8"/>
      <c r="J59" s="7">
        <v>0</v>
      </c>
      <c r="K59" s="8">
        <f t="shared" si="20"/>
        <v>0</v>
      </c>
      <c r="N59" s="7" t="s">
        <v>241</v>
      </c>
      <c r="O59" s="8"/>
      <c r="P59" s="7">
        <v>0</v>
      </c>
      <c r="Q59" s="8">
        <f t="shared" si="21"/>
        <v>0</v>
      </c>
      <c r="R59" s="8"/>
      <c r="S59" s="7">
        <v>0</v>
      </c>
      <c r="T59" s="8">
        <f t="shared" si="22"/>
        <v>0</v>
      </c>
      <c r="U59" s="8"/>
      <c r="V59" s="7">
        <v>0</v>
      </c>
      <c r="W59" s="8">
        <f t="shared" si="23"/>
        <v>0</v>
      </c>
    </row>
    <row r="60" spans="2:23" hidden="1">
      <c r="B60" s="9"/>
      <c r="C60" s="9"/>
      <c r="D60" s="6" t="s">
        <v>48</v>
      </c>
      <c r="E60" s="10">
        <f>SUM(E51:E59)</f>
        <v>0</v>
      </c>
      <c r="F60" s="9"/>
      <c r="G60" s="6" t="s">
        <v>48</v>
      </c>
      <c r="H60" s="10">
        <f>SUM(H51:H59)</f>
        <v>0</v>
      </c>
      <c r="I60" s="10"/>
      <c r="J60" s="6" t="s">
        <v>48</v>
      </c>
      <c r="K60" s="10">
        <f>SUM(K51:K59)</f>
        <v>0</v>
      </c>
      <c r="N60" s="9"/>
      <c r="O60" s="9"/>
      <c r="P60" s="6" t="s">
        <v>48</v>
      </c>
      <c r="Q60" s="10">
        <f>SUM(Q51:Q59)</f>
        <v>0</v>
      </c>
      <c r="R60" s="9"/>
      <c r="S60" s="6" t="s">
        <v>48</v>
      </c>
      <c r="T60" s="15">
        <f>SUM(T51:T59)</f>
        <v>0</v>
      </c>
      <c r="U60" s="9"/>
      <c r="V60" s="6" t="s">
        <v>48</v>
      </c>
      <c r="W60" s="10">
        <f>SUM(W51:W59)</f>
        <v>0</v>
      </c>
    </row>
    <row r="61" spans="2:23" hidden="1">
      <c r="K61" s="14">
        <f>+E60+H60+K60</f>
        <v>0</v>
      </c>
      <c r="W61" s="14">
        <f>+Q60+T60+W60</f>
        <v>0</v>
      </c>
    </row>
  </sheetData>
  <mergeCells count="32">
    <mergeCell ref="B4:B5"/>
    <mergeCell ref="B18:B19"/>
    <mergeCell ref="B34:B35"/>
    <mergeCell ref="B49:B50"/>
    <mergeCell ref="N4:N5"/>
    <mergeCell ref="N18:N19"/>
    <mergeCell ref="N34:N35"/>
    <mergeCell ref="N49:N50"/>
    <mergeCell ref="U34:W34"/>
    <mergeCell ref="C49:E49"/>
    <mergeCell ref="F49:H49"/>
    <mergeCell ref="I49:K49"/>
    <mergeCell ref="O49:Q49"/>
    <mergeCell ref="R49:T49"/>
    <mergeCell ref="U49:W49"/>
    <mergeCell ref="C34:E34"/>
    <mergeCell ref="F34:H34"/>
    <mergeCell ref="I34:K34"/>
    <mergeCell ref="O34:Q34"/>
    <mergeCell ref="R34:T34"/>
    <mergeCell ref="U4:W4"/>
    <mergeCell ref="C18:E18"/>
    <mergeCell ref="F18:H18"/>
    <mergeCell ref="I18:K18"/>
    <mergeCell ref="O18:Q18"/>
    <mergeCell ref="R18:T18"/>
    <mergeCell ref="U18:W18"/>
    <mergeCell ref="C4:E4"/>
    <mergeCell ref="F4:H4"/>
    <mergeCell ref="I4:K4"/>
    <mergeCell ref="O4:Q4"/>
    <mergeCell ref="R4:T4"/>
  </mergeCells>
  <pageMargins left="0.7" right="0.7" top="0.75" bottom="0.75" header="0.3" footer="0.3"/>
  <pageSetup paperSize="9" scale="44" fitToHeight="0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115"/>
  <sheetViews>
    <sheetView showGridLines="0" topLeftCell="A55" zoomScale="85" zoomScaleNormal="85" workbookViewId="0">
      <selection activeCell="A60" sqref="A60:XFD86"/>
    </sheetView>
  </sheetViews>
  <sheetFormatPr defaultColWidth="9" defaultRowHeight="15"/>
  <cols>
    <col min="2" max="2" width="27.28515625" customWidth="1"/>
    <col min="3" max="3" width="14.5703125" customWidth="1"/>
    <col min="4" max="4" width="8.85546875" customWidth="1"/>
    <col min="5" max="5" width="15.7109375" customWidth="1"/>
    <col min="6" max="6" width="14.5703125" customWidth="1"/>
    <col min="7" max="7" width="8" customWidth="1"/>
    <col min="8" max="8" width="15.7109375" customWidth="1"/>
    <col min="9" max="9" width="14.5703125" customWidth="1"/>
    <col min="10" max="10" width="8.28515625" customWidth="1"/>
    <col min="11" max="11" width="15.7109375" customWidth="1"/>
    <col min="14" max="14" width="22.85546875" customWidth="1"/>
    <col min="15" max="15" width="14.5703125" customWidth="1"/>
    <col min="16" max="16" width="8.85546875" customWidth="1"/>
    <col min="17" max="17" width="15.7109375" customWidth="1"/>
    <col min="18" max="18" width="14.5703125" customWidth="1"/>
    <col min="19" max="19" width="8" customWidth="1"/>
    <col min="20" max="20" width="15.7109375" customWidth="1"/>
    <col min="21" max="21" width="14.5703125" customWidth="1"/>
    <col min="22" max="22" width="8.28515625" customWidth="1"/>
    <col min="23" max="23" width="15.7109375" customWidth="1"/>
  </cols>
  <sheetData>
    <row r="2" spans="2:23" ht="15.75">
      <c r="B2" s="2" t="s">
        <v>227</v>
      </c>
      <c r="C2" t="s">
        <v>277</v>
      </c>
      <c r="F2" t="s">
        <v>278</v>
      </c>
      <c r="I2" t="s">
        <v>279</v>
      </c>
      <c r="N2" s="2"/>
    </row>
    <row r="3" spans="2:23">
      <c r="B3" s="354" t="s">
        <v>3</v>
      </c>
      <c r="C3" s="268" t="s">
        <v>10</v>
      </c>
      <c r="D3" s="347"/>
      <c r="E3" s="269"/>
      <c r="F3" s="268" t="s">
        <v>15</v>
      </c>
      <c r="G3" s="347"/>
      <c r="H3" s="269"/>
      <c r="I3" s="268" t="s">
        <v>17</v>
      </c>
      <c r="J3" s="347"/>
      <c r="K3" s="269"/>
      <c r="N3" s="354" t="s">
        <v>4</v>
      </c>
      <c r="O3" s="268" t="s">
        <v>10</v>
      </c>
      <c r="P3" s="347"/>
      <c r="Q3" s="269"/>
      <c r="R3" s="268" t="s">
        <v>15</v>
      </c>
      <c r="S3" s="347"/>
      <c r="T3" s="269"/>
      <c r="U3" s="268" t="s">
        <v>17</v>
      </c>
      <c r="V3" s="347"/>
      <c r="W3" s="269"/>
    </row>
    <row r="4" spans="2:23">
      <c r="B4" s="355"/>
      <c r="C4" s="5" t="s">
        <v>180</v>
      </c>
      <c r="D4" s="6" t="s">
        <v>41</v>
      </c>
      <c r="E4" s="6" t="s">
        <v>44</v>
      </c>
      <c r="F4" s="5" t="s">
        <v>180</v>
      </c>
      <c r="G4" s="6" t="s">
        <v>41</v>
      </c>
      <c r="H4" s="6" t="s">
        <v>44</v>
      </c>
      <c r="I4" s="5" t="s">
        <v>180</v>
      </c>
      <c r="J4" s="6" t="s">
        <v>41</v>
      </c>
      <c r="K4" s="6" t="s">
        <v>44</v>
      </c>
      <c r="N4" s="355"/>
      <c r="O4" s="5" t="s">
        <v>180</v>
      </c>
      <c r="P4" s="6" t="s">
        <v>41</v>
      </c>
      <c r="Q4" s="6" t="s">
        <v>44</v>
      </c>
      <c r="R4" s="5" t="s">
        <v>180</v>
      </c>
      <c r="S4" s="6" t="s">
        <v>41</v>
      </c>
      <c r="T4" s="6" t="s">
        <v>44</v>
      </c>
      <c r="U4" s="5" t="s">
        <v>180</v>
      </c>
      <c r="V4" s="6" t="s">
        <v>41</v>
      </c>
      <c r="W4" s="6" t="s">
        <v>44</v>
      </c>
    </row>
    <row r="5" spans="2:23">
      <c r="B5" s="7" t="s">
        <v>233</v>
      </c>
      <c r="C5" s="8">
        <v>32025000</v>
      </c>
      <c r="D5" s="7">
        <v>1</v>
      </c>
      <c r="E5" s="8">
        <f t="shared" ref="E5:E13" si="0">+C5*D5</f>
        <v>32025000</v>
      </c>
      <c r="F5" s="8">
        <v>33016000</v>
      </c>
      <c r="G5" s="7">
        <v>1</v>
      </c>
      <c r="H5" s="8">
        <f t="shared" ref="H5:H13" si="1">+F5*G5</f>
        <v>33016000</v>
      </c>
      <c r="I5" s="8">
        <v>32476250</v>
      </c>
      <c r="J5" s="7">
        <v>1</v>
      </c>
      <c r="K5" s="8">
        <f t="shared" ref="K5:K13" si="2">+I5*J5</f>
        <v>32476250</v>
      </c>
      <c r="N5" s="7" t="s">
        <v>233</v>
      </c>
      <c r="O5" s="8"/>
      <c r="P5" s="7"/>
      <c r="Q5" s="8">
        <f t="shared" ref="Q5:Q13" si="3">+O5*P5</f>
        <v>0</v>
      </c>
      <c r="R5" s="8"/>
      <c r="S5" s="7"/>
      <c r="T5" s="8">
        <f t="shared" ref="T5:T13" si="4">+R5*S5</f>
        <v>0</v>
      </c>
      <c r="U5" s="8"/>
      <c r="V5" s="7"/>
      <c r="W5" s="8">
        <f t="shared" ref="W5:W13" si="5">+U5*V5</f>
        <v>0</v>
      </c>
    </row>
    <row r="6" spans="2:23">
      <c r="B6" s="7" t="s">
        <v>234</v>
      </c>
      <c r="C6" s="8">
        <v>9722746.3499999996</v>
      </c>
      <c r="D6" s="7">
        <v>1</v>
      </c>
      <c r="E6" s="8">
        <f t="shared" si="0"/>
        <v>9722746.3499999996</v>
      </c>
      <c r="F6" s="8">
        <v>13380021</v>
      </c>
      <c r="G6" s="7">
        <v>1</v>
      </c>
      <c r="H6" s="8">
        <f t="shared" si="1"/>
        <v>13380021</v>
      </c>
      <c r="I6" s="8">
        <v>11071427.75</v>
      </c>
      <c r="J6" s="7">
        <v>1</v>
      </c>
      <c r="K6" s="8">
        <f t="shared" si="2"/>
        <v>11071427.75</v>
      </c>
      <c r="N6" s="7" t="s">
        <v>234</v>
      </c>
      <c r="O6" s="8"/>
      <c r="P6" s="7"/>
      <c r="Q6" s="8">
        <f t="shared" si="3"/>
        <v>0</v>
      </c>
      <c r="R6" s="8"/>
      <c r="S6" s="7"/>
      <c r="T6" s="8">
        <f t="shared" si="4"/>
        <v>0</v>
      </c>
      <c r="U6" s="8"/>
      <c r="V6" s="7"/>
      <c r="W6" s="8">
        <f t="shared" si="5"/>
        <v>0</v>
      </c>
    </row>
    <row r="7" spans="2:23">
      <c r="B7" s="7" t="s">
        <v>235</v>
      </c>
      <c r="C7" s="8">
        <v>6600</v>
      </c>
      <c r="D7" s="7">
        <v>0</v>
      </c>
      <c r="E7" s="8">
        <f t="shared" si="0"/>
        <v>0</v>
      </c>
      <c r="F7" s="8">
        <v>6600</v>
      </c>
      <c r="G7" s="7">
        <v>0</v>
      </c>
      <c r="H7" s="8">
        <f t="shared" si="1"/>
        <v>0</v>
      </c>
      <c r="I7" s="8">
        <v>6600</v>
      </c>
      <c r="J7" s="7">
        <v>300</v>
      </c>
      <c r="K7" s="8">
        <f t="shared" si="2"/>
        <v>1980000</v>
      </c>
      <c r="N7" s="7" t="s">
        <v>235</v>
      </c>
      <c r="O7" s="8"/>
      <c r="P7" s="7"/>
      <c r="Q7" s="8">
        <f t="shared" si="3"/>
        <v>0</v>
      </c>
      <c r="R7" s="8"/>
      <c r="S7" s="7"/>
      <c r="T7" s="8">
        <f t="shared" si="4"/>
        <v>0</v>
      </c>
      <c r="U7" s="8"/>
      <c r="V7" s="7"/>
      <c r="W7" s="8">
        <f t="shared" si="5"/>
        <v>0</v>
      </c>
    </row>
    <row r="8" spans="2:23">
      <c r="B8" s="7" t="s">
        <v>236</v>
      </c>
      <c r="C8" s="8">
        <v>80300</v>
      </c>
      <c r="D8" s="7">
        <v>19</v>
      </c>
      <c r="E8" s="8">
        <f t="shared" si="0"/>
        <v>1525700</v>
      </c>
      <c r="F8" s="8">
        <v>80300</v>
      </c>
      <c r="G8" s="7">
        <v>41</v>
      </c>
      <c r="H8" s="8">
        <f t="shared" si="1"/>
        <v>3292300</v>
      </c>
      <c r="I8" s="8">
        <v>80300</v>
      </c>
      <c r="J8" s="7">
        <v>12</v>
      </c>
      <c r="K8" s="8">
        <f t="shared" si="2"/>
        <v>963600</v>
      </c>
      <c r="N8" s="7" t="s">
        <v>236</v>
      </c>
      <c r="O8" s="8"/>
      <c r="P8" s="7"/>
      <c r="Q8" s="8">
        <f t="shared" si="3"/>
        <v>0</v>
      </c>
      <c r="R8" s="8"/>
      <c r="S8" s="7"/>
      <c r="T8" s="8">
        <f t="shared" si="4"/>
        <v>0</v>
      </c>
      <c r="U8" s="8"/>
      <c r="V8" s="7"/>
      <c r="W8" s="8">
        <f t="shared" si="5"/>
        <v>0</v>
      </c>
    </row>
    <row r="9" spans="2:23">
      <c r="B9" s="7" t="s">
        <v>237</v>
      </c>
      <c r="C9" s="8">
        <v>1000000</v>
      </c>
      <c r="D9" s="7">
        <v>0.5</v>
      </c>
      <c r="E9" s="8">
        <f t="shared" si="0"/>
        <v>500000</v>
      </c>
      <c r="F9" s="8">
        <v>1000000</v>
      </c>
      <c r="G9" s="7">
        <v>0.5</v>
      </c>
      <c r="H9" s="8">
        <f t="shared" si="1"/>
        <v>500000</v>
      </c>
      <c r="I9" s="8">
        <v>1000000</v>
      </c>
      <c r="J9" s="7">
        <v>1</v>
      </c>
      <c r="K9" s="8">
        <f t="shared" si="2"/>
        <v>1000000</v>
      </c>
      <c r="N9" s="7" t="s">
        <v>237</v>
      </c>
      <c r="O9" s="8"/>
      <c r="P9" s="7"/>
      <c r="Q9" s="8">
        <f t="shared" si="3"/>
        <v>0</v>
      </c>
      <c r="R9" s="8"/>
      <c r="S9" s="7"/>
      <c r="T9" s="8">
        <f t="shared" si="4"/>
        <v>0</v>
      </c>
      <c r="U9" s="8"/>
      <c r="V9" s="7"/>
      <c r="W9" s="8">
        <f t="shared" si="5"/>
        <v>0</v>
      </c>
    </row>
    <row r="10" spans="2:23">
      <c r="B10" s="7" t="s">
        <v>238</v>
      </c>
      <c r="C10" s="8">
        <v>500000</v>
      </c>
      <c r="D10" s="7">
        <v>0</v>
      </c>
      <c r="E10" s="8">
        <f t="shared" si="0"/>
        <v>0</v>
      </c>
      <c r="F10" s="8">
        <v>500000</v>
      </c>
      <c r="G10" s="7">
        <v>0</v>
      </c>
      <c r="H10" s="8">
        <f t="shared" si="1"/>
        <v>0</v>
      </c>
      <c r="I10" s="8">
        <v>500000</v>
      </c>
      <c r="J10" s="7">
        <v>0</v>
      </c>
      <c r="K10" s="8">
        <f t="shared" si="2"/>
        <v>0</v>
      </c>
      <c r="N10" s="7" t="s">
        <v>238</v>
      </c>
      <c r="O10" s="8"/>
      <c r="P10" s="7"/>
      <c r="Q10" s="8">
        <f t="shared" si="3"/>
        <v>0</v>
      </c>
      <c r="R10" s="8"/>
      <c r="S10" s="7"/>
      <c r="T10" s="8">
        <f t="shared" si="4"/>
        <v>0</v>
      </c>
      <c r="U10" s="8"/>
      <c r="V10" s="7"/>
      <c r="W10" s="8">
        <f t="shared" si="5"/>
        <v>0</v>
      </c>
    </row>
    <row r="11" spans="2:23">
      <c r="B11" s="7" t="s">
        <v>239</v>
      </c>
      <c r="C11" s="8">
        <v>420000</v>
      </c>
      <c r="D11" s="7">
        <v>0</v>
      </c>
      <c r="E11" s="8">
        <f t="shared" si="0"/>
        <v>0</v>
      </c>
      <c r="F11" s="8">
        <v>420000</v>
      </c>
      <c r="G11" s="7">
        <v>0</v>
      </c>
      <c r="H11" s="8">
        <f t="shared" si="1"/>
        <v>0</v>
      </c>
      <c r="I11" s="8">
        <v>420000</v>
      </c>
      <c r="J11" s="7">
        <v>0</v>
      </c>
      <c r="K11" s="8">
        <f t="shared" si="2"/>
        <v>0</v>
      </c>
      <c r="N11" s="7" t="s">
        <v>239</v>
      </c>
      <c r="O11" s="8"/>
      <c r="P11" s="7"/>
      <c r="Q11" s="8">
        <f t="shared" si="3"/>
        <v>0</v>
      </c>
      <c r="R11" s="8"/>
      <c r="S11" s="7"/>
      <c r="T11" s="8">
        <f t="shared" si="4"/>
        <v>0</v>
      </c>
      <c r="U11" s="8"/>
      <c r="V11" s="7"/>
      <c r="W11" s="8">
        <f t="shared" si="5"/>
        <v>0</v>
      </c>
    </row>
    <row r="12" spans="2:23">
      <c r="B12" s="7" t="s">
        <v>240</v>
      </c>
      <c r="C12" s="8">
        <v>450000</v>
      </c>
      <c r="D12" s="7">
        <v>0</v>
      </c>
      <c r="E12" s="8">
        <f t="shared" si="0"/>
        <v>0</v>
      </c>
      <c r="F12" s="8">
        <v>450000</v>
      </c>
      <c r="G12" s="7">
        <v>0</v>
      </c>
      <c r="H12" s="8">
        <f t="shared" si="1"/>
        <v>0</v>
      </c>
      <c r="I12" s="8">
        <v>450000</v>
      </c>
      <c r="J12" s="7">
        <v>0</v>
      </c>
      <c r="K12" s="8">
        <f t="shared" si="2"/>
        <v>0</v>
      </c>
      <c r="N12" s="7" t="s">
        <v>240</v>
      </c>
      <c r="O12" s="8"/>
      <c r="P12" s="7"/>
      <c r="Q12" s="8">
        <f t="shared" si="3"/>
        <v>0</v>
      </c>
      <c r="R12" s="8"/>
      <c r="S12" s="7"/>
      <c r="T12" s="8">
        <f t="shared" si="4"/>
        <v>0</v>
      </c>
      <c r="U12" s="8"/>
      <c r="V12" s="7"/>
      <c r="W12" s="8">
        <f t="shared" si="5"/>
        <v>0</v>
      </c>
    </row>
    <row r="13" spans="2:23">
      <c r="B13" s="7" t="s">
        <v>241</v>
      </c>
      <c r="C13" s="8"/>
      <c r="D13" s="7">
        <v>0</v>
      </c>
      <c r="E13" s="8">
        <f t="shared" si="0"/>
        <v>0</v>
      </c>
      <c r="F13" s="8"/>
      <c r="G13" s="7">
        <v>0</v>
      </c>
      <c r="H13" s="8">
        <f t="shared" si="1"/>
        <v>0</v>
      </c>
      <c r="I13" s="8"/>
      <c r="J13" s="7">
        <v>0</v>
      </c>
      <c r="K13" s="8">
        <f t="shared" si="2"/>
        <v>0</v>
      </c>
      <c r="N13" s="7" t="s">
        <v>241</v>
      </c>
      <c r="O13" s="8"/>
      <c r="P13" s="7"/>
      <c r="Q13" s="8">
        <f t="shared" si="3"/>
        <v>0</v>
      </c>
      <c r="R13" s="8"/>
      <c r="S13" s="7"/>
      <c r="T13" s="8">
        <f t="shared" si="4"/>
        <v>0</v>
      </c>
      <c r="U13" s="8"/>
      <c r="V13" s="7"/>
      <c r="W13" s="8">
        <f t="shared" si="5"/>
        <v>0</v>
      </c>
    </row>
    <row r="14" spans="2:23" s="1" customFormat="1">
      <c r="B14" s="9"/>
      <c r="C14" s="9"/>
      <c r="D14" s="6" t="s">
        <v>48</v>
      </c>
      <c r="E14" s="10">
        <f>SUM(E5:E13)</f>
        <v>43773446.350000001</v>
      </c>
      <c r="F14" s="9"/>
      <c r="G14" s="6" t="s">
        <v>48</v>
      </c>
      <c r="H14" s="10">
        <f>SUM(H5:H13)</f>
        <v>50188321</v>
      </c>
      <c r="I14" s="9"/>
      <c r="J14" s="6" t="s">
        <v>48</v>
      </c>
      <c r="K14" s="10">
        <f>SUM(K5:K13)</f>
        <v>47491277.75</v>
      </c>
      <c r="N14" s="9"/>
      <c r="O14" s="9"/>
      <c r="P14" s="6" t="s">
        <v>48</v>
      </c>
      <c r="Q14" s="10">
        <f>SUM(Q5:Q13)</f>
        <v>0</v>
      </c>
      <c r="R14" s="9"/>
      <c r="S14" s="6" t="s">
        <v>48</v>
      </c>
      <c r="T14" s="15">
        <f>SUM(T5:T13)</f>
        <v>0</v>
      </c>
      <c r="U14" s="9"/>
      <c r="V14" s="6" t="s">
        <v>48</v>
      </c>
      <c r="W14" s="10">
        <f>SUM(W5:W13)</f>
        <v>0</v>
      </c>
    </row>
    <row r="15" spans="2:23">
      <c r="K15" s="14">
        <f>(E14+H14+K14)/3</f>
        <v>47151015.033333331</v>
      </c>
      <c r="W15" s="14">
        <f>(Q14+T14+W14)/3</f>
        <v>0</v>
      </c>
    </row>
    <row r="16" spans="2:23">
      <c r="C16" t="s">
        <v>280</v>
      </c>
      <c r="F16" t="s">
        <v>281</v>
      </c>
      <c r="I16" t="s">
        <v>282</v>
      </c>
      <c r="K16" s="14"/>
      <c r="W16" s="14"/>
    </row>
    <row r="17" spans="2:23">
      <c r="B17" s="354" t="s">
        <v>283</v>
      </c>
      <c r="C17" s="268" t="s">
        <v>10</v>
      </c>
      <c r="D17" s="347"/>
      <c r="E17" s="269"/>
      <c r="F17" s="268" t="s">
        <v>15</v>
      </c>
      <c r="G17" s="347"/>
      <c r="H17" s="269"/>
      <c r="I17" s="268" t="s">
        <v>17</v>
      </c>
      <c r="J17" s="347"/>
      <c r="K17" s="269"/>
      <c r="N17" s="354" t="s">
        <v>283</v>
      </c>
      <c r="O17" s="268" t="s">
        <v>10</v>
      </c>
      <c r="P17" s="347"/>
      <c r="Q17" s="269"/>
      <c r="R17" s="268" t="s">
        <v>15</v>
      </c>
      <c r="S17" s="347"/>
      <c r="T17" s="269"/>
      <c r="U17" s="268" t="s">
        <v>17</v>
      </c>
      <c r="V17" s="347"/>
      <c r="W17" s="269"/>
    </row>
    <row r="18" spans="2:23">
      <c r="B18" s="355"/>
      <c r="C18" s="5" t="s">
        <v>180</v>
      </c>
      <c r="D18" s="6" t="s">
        <v>41</v>
      </c>
      <c r="E18" s="6" t="s">
        <v>44</v>
      </c>
      <c r="F18" s="5" t="s">
        <v>180</v>
      </c>
      <c r="G18" s="6" t="s">
        <v>41</v>
      </c>
      <c r="H18" s="6" t="s">
        <v>44</v>
      </c>
      <c r="I18" s="5" t="s">
        <v>180</v>
      </c>
      <c r="J18" s="6" t="s">
        <v>41</v>
      </c>
      <c r="K18" s="6" t="s">
        <v>44</v>
      </c>
      <c r="N18" s="355"/>
      <c r="O18" s="5" t="s">
        <v>180</v>
      </c>
      <c r="P18" s="6" t="s">
        <v>41</v>
      </c>
      <c r="Q18" s="6" t="s">
        <v>44</v>
      </c>
      <c r="R18" s="5" t="s">
        <v>180</v>
      </c>
      <c r="S18" s="6" t="s">
        <v>41</v>
      </c>
      <c r="T18" s="6" t="s">
        <v>44</v>
      </c>
      <c r="U18" s="5" t="s">
        <v>180</v>
      </c>
      <c r="V18" s="6" t="s">
        <v>41</v>
      </c>
      <c r="W18" s="6" t="s">
        <v>44</v>
      </c>
    </row>
    <row r="19" spans="2:23">
      <c r="B19" s="7" t="s">
        <v>233</v>
      </c>
      <c r="C19" s="8">
        <v>37956400</v>
      </c>
      <c r="D19" s="7">
        <v>1</v>
      </c>
      <c r="E19" s="8">
        <f t="shared" ref="E19:E27" si="6">+C19*D19</f>
        <v>37956400</v>
      </c>
      <c r="F19" s="8">
        <v>41245952.380952403</v>
      </c>
      <c r="G19" s="7">
        <v>1</v>
      </c>
      <c r="H19" s="8">
        <f t="shared" ref="H19:H27" si="7">+F19*G19</f>
        <v>41245952.380952403</v>
      </c>
      <c r="I19" s="8">
        <v>41989500</v>
      </c>
      <c r="J19" s="7">
        <v>1</v>
      </c>
      <c r="K19" s="8">
        <f t="shared" ref="K19:K27" si="8">+I19*J19</f>
        <v>41989500</v>
      </c>
      <c r="N19" s="7" t="s">
        <v>233</v>
      </c>
      <c r="O19" s="8">
        <v>37956400</v>
      </c>
      <c r="P19" s="7">
        <v>1</v>
      </c>
      <c r="Q19" s="8">
        <f t="shared" ref="Q19:Q27" si="9">+O19*P19</f>
        <v>37956400</v>
      </c>
      <c r="R19" s="8">
        <v>41245952.380952403</v>
      </c>
      <c r="S19" s="7">
        <v>1</v>
      </c>
      <c r="T19" s="8">
        <f t="shared" ref="T19:T27" si="10">+R19*S19</f>
        <v>41245952.380952403</v>
      </c>
      <c r="U19" s="8">
        <v>41989500</v>
      </c>
      <c r="V19" s="7">
        <v>1</v>
      </c>
      <c r="W19" s="8">
        <f t="shared" ref="W19:W27" si="11">+U19*V19</f>
        <v>41989500</v>
      </c>
    </row>
    <row r="20" spans="2:23">
      <c r="B20" s="7" t="s">
        <v>234</v>
      </c>
      <c r="C20" s="8">
        <v>7904650</v>
      </c>
      <c r="D20" s="7">
        <v>1</v>
      </c>
      <c r="E20" s="8">
        <f t="shared" si="6"/>
        <v>7904650</v>
      </c>
      <c r="F20" s="8">
        <v>10550000</v>
      </c>
      <c r="G20" s="7">
        <v>1</v>
      </c>
      <c r="H20" s="8">
        <f t="shared" si="7"/>
        <v>10550000</v>
      </c>
      <c r="I20" s="8">
        <v>9766375</v>
      </c>
      <c r="J20" s="7">
        <v>1</v>
      </c>
      <c r="K20" s="8">
        <f t="shared" si="8"/>
        <v>9766375</v>
      </c>
      <c r="N20" s="7" t="s">
        <v>234</v>
      </c>
      <c r="O20" s="8">
        <v>7904650</v>
      </c>
      <c r="P20" s="7">
        <v>1</v>
      </c>
      <c r="Q20" s="8">
        <f t="shared" si="9"/>
        <v>7904650</v>
      </c>
      <c r="R20" s="8">
        <v>10550000</v>
      </c>
      <c r="S20" s="7">
        <v>1</v>
      </c>
      <c r="T20" s="8">
        <f t="shared" si="10"/>
        <v>10550000</v>
      </c>
      <c r="U20" s="8">
        <v>9766375</v>
      </c>
      <c r="V20" s="7">
        <v>1</v>
      </c>
      <c r="W20" s="8">
        <f t="shared" si="11"/>
        <v>9766375</v>
      </c>
    </row>
    <row r="21" spans="2:23">
      <c r="B21" s="7" t="s">
        <v>235</v>
      </c>
      <c r="C21" s="8">
        <v>6600</v>
      </c>
      <c r="D21" s="7">
        <v>0</v>
      </c>
      <c r="E21" s="8">
        <f t="shared" si="6"/>
        <v>0</v>
      </c>
      <c r="F21" s="8">
        <v>6600</v>
      </c>
      <c r="G21" s="7">
        <v>0</v>
      </c>
      <c r="H21" s="8">
        <f t="shared" si="7"/>
        <v>0</v>
      </c>
      <c r="I21" s="8">
        <v>6600</v>
      </c>
      <c r="J21" s="7">
        <v>0</v>
      </c>
      <c r="K21" s="8">
        <f t="shared" si="8"/>
        <v>0</v>
      </c>
      <c r="N21" s="7" t="s">
        <v>235</v>
      </c>
      <c r="O21" s="8">
        <v>4300</v>
      </c>
      <c r="P21" s="7">
        <v>0</v>
      </c>
      <c r="Q21" s="8">
        <f t="shared" si="9"/>
        <v>0</v>
      </c>
      <c r="R21" s="8">
        <v>4300</v>
      </c>
      <c r="S21" s="7">
        <v>0</v>
      </c>
      <c r="T21" s="8">
        <f t="shared" si="10"/>
        <v>0</v>
      </c>
      <c r="U21" s="8">
        <v>4300</v>
      </c>
      <c r="V21" s="7">
        <v>0</v>
      </c>
      <c r="W21" s="8">
        <f t="shared" si="11"/>
        <v>0</v>
      </c>
    </row>
    <row r="22" spans="2:23">
      <c r="B22" s="7" t="s">
        <v>236</v>
      </c>
      <c r="C22" s="8">
        <v>80300</v>
      </c>
      <c r="D22" s="7">
        <v>19</v>
      </c>
      <c r="E22" s="8">
        <f t="shared" si="6"/>
        <v>1525700</v>
      </c>
      <c r="F22" s="8">
        <v>80300</v>
      </c>
      <c r="G22" s="7">
        <v>41</v>
      </c>
      <c r="H22" s="8">
        <f t="shared" si="7"/>
        <v>3292300</v>
      </c>
      <c r="I22" s="8">
        <v>80300</v>
      </c>
      <c r="J22" s="7">
        <v>12</v>
      </c>
      <c r="K22" s="8">
        <f t="shared" si="8"/>
        <v>963600</v>
      </c>
      <c r="N22" s="7" t="s">
        <v>236</v>
      </c>
      <c r="O22" s="8">
        <v>80300</v>
      </c>
      <c r="P22" s="7">
        <v>19</v>
      </c>
      <c r="Q22" s="8">
        <f t="shared" si="9"/>
        <v>1525700</v>
      </c>
      <c r="R22" s="8">
        <v>80300</v>
      </c>
      <c r="S22" s="7">
        <v>41</v>
      </c>
      <c r="T22" s="8">
        <f t="shared" si="10"/>
        <v>3292300</v>
      </c>
      <c r="U22" s="8">
        <v>80300</v>
      </c>
      <c r="V22" s="7">
        <v>12</v>
      </c>
      <c r="W22" s="8">
        <f t="shared" si="11"/>
        <v>963600</v>
      </c>
    </row>
    <row r="23" spans="2:23">
      <c r="B23" s="7" t="s">
        <v>237</v>
      </c>
      <c r="C23" s="8">
        <v>1100000</v>
      </c>
      <c r="D23" s="7">
        <v>0.5</v>
      </c>
      <c r="E23" s="8">
        <f t="shared" si="6"/>
        <v>550000</v>
      </c>
      <c r="F23" s="8">
        <v>1100000</v>
      </c>
      <c r="G23" s="7">
        <v>0.5</v>
      </c>
      <c r="H23" s="8">
        <f t="shared" si="7"/>
        <v>550000</v>
      </c>
      <c r="I23" s="8">
        <v>1100000</v>
      </c>
      <c r="J23" s="7">
        <v>1</v>
      </c>
      <c r="K23" s="8">
        <f t="shared" si="8"/>
        <v>1100000</v>
      </c>
      <c r="N23" s="7" t="s">
        <v>237</v>
      </c>
      <c r="O23" s="8">
        <v>870000</v>
      </c>
      <c r="P23" s="7">
        <v>0.5</v>
      </c>
      <c r="Q23" s="8">
        <f t="shared" si="9"/>
        <v>435000</v>
      </c>
      <c r="R23" s="8">
        <v>870000</v>
      </c>
      <c r="S23" s="7">
        <v>0.5</v>
      </c>
      <c r="T23" s="8">
        <f t="shared" si="10"/>
        <v>435000</v>
      </c>
      <c r="U23" s="8">
        <v>870000</v>
      </c>
      <c r="V23" s="7">
        <v>1</v>
      </c>
      <c r="W23" s="8">
        <f t="shared" si="11"/>
        <v>870000</v>
      </c>
    </row>
    <row r="24" spans="2:23">
      <c r="B24" s="7" t="s">
        <v>238</v>
      </c>
      <c r="C24" s="8">
        <v>550000</v>
      </c>
      <c r="D24" s="7">
        <v>0</v>
      </c>
      <c r="E24" s="8">
        <f t="shared" si="6"/>
        <v>0</v>
      </c>
      <c r="F24" s="8">
        <v>550000</v>
      </c>
      <c r="G24" s="7">
        <v>0</v>
      </c>
      <c r="H24" s="8">
        <f t="shared" si="7"/>
        <v>0</v>
      </c>
      <c r="I24" s="8">
        <v>550000</v>
      </c>
      <c r="J24" s="7">
        <v>0</v>
      </c>
      <c r="K24" s="8">
        <f t="shared" si="8"/>
        <v>0</v>
      </c>
      <c r="N24" s="7" t="s">
        <v>238</v>
      </c>
      <c r="O24" s="8">
        <v>435000</v>
      </c>
      <c r="P24" s="7">
        <v>0</v>
      </c>
      <c r="Q24" s="8">
        <f t="shared" si="9"/>
        <v>0</v>
      </c>
      <c r="R24" s="8">
        <v>435000</v>
      </c>
      <c r="S24" s="7">
        <v>0</v>
      </c>
      <c r="T24" s="8">
        <f t="shared" si="10"/>
        <v>0</v>
      </c>
      <c r="U24" s="8">
        <v>435000</v>
      </c>
      <c r="V24" s="7">
        <v>0</v>
      </c>
      <c r="W24" s="8">
        <f t="shared" si="11"/>
        <v>0</v>
      </c>
    </row>
    <row r="25" spans="2:23">
      <c r="B25" s="7" t="s">
        <v>239</v>
      </c>
      <c r="C25" s="8">
        <v>420000</v>
      </c>
      <c r="D25" s="7">
        <v>0</v>
      </c>
      <c r="E25" s="8">
        <f t="shared" si="6"/>
        <v>0</v>
      </c>
      <c r="F25" s="8">
        <v>420000</v>
      </c>
      <c r="G25" s="7">
        <v>0</v>
      </c>
      <c r="H25" s="8">
        <f t="shared" si="7"/>
        <v>0</v>
      </c>
      <c r="I25" s="8">
        <v>420000</v>
      </c>
      <c r="J25" s="7">
        <v>0</v>
      </c>
      <c r="K25" s="8">
        <f t="shared" si="8"/>
        <v>0</v>
      </c>
      <c r="N25" s="7" t="s">
        <v>239</v>
      </c>
      <c r="O25" s="8">
        <v>420000</v>
      </c>
      <c r="P25" s="7">
        <v>0</v>
      </c>
      <c r="Q25" s="8">
        <f t="shared" si="9"/>
        <v>0</v>
      </c>
      <c r="R25" s="8">
        <v>420000</v>
      </c>
      <c r="S25" s="7">
        <v>0</v>
      </c>
      <c r="T25" s="8">
        <f t="shared" si="10"/>
        <v>0</v>
      </c>
      <c r="U25" s="8">
        <v>420000</v>
      </c>
      <c r="V25" s="7">
        <v>0</v>
      </c>
      <c r="W25" s="8">
        <f t="shared" si="11"/>
        <v>0</v>
      </c>
    </row>
    <row r="26" spans="2:23">
      <c r="B26" s="7" t="s">
        <v>240</v>
      </c>
      <c r="C26" s="8">
        <v>450000</v>
      </c>
      <c r="D26" s="7">
        <v>0</v>
      </c>
      <c r="E26" s="8">
        <f t="shared" si="6"/>
        <v>0</v>
      </c>
      <c r="F26" s="8">
        <v>450000</v>
      </c>
      <c r="G26" s="7">
        <v>0</v>
      </c>
      <c r="H26" s="8">
        <f t="shared" si="7"/>
        <v>0</v>
      </c>
      <c r="I26" s="8">
        <v>450000</v>
      </c>
      <c r="J26" s="7">
        <v>0</v>
      </c>
      <c r="K26" s="8">
        <f t="shared" si="8"/>
        <v>0</v>
      </c>
      <c r="N26" s="7" t="s">
        <v>240</v>
      </c>
      <c r="O26" s="8">
        <v>450000</v>
      </c>
      <c r="P26" s="7">
        <v>0</v>
      </c>
      <c r="Q26" s="8">
        <f t="shared" si="9"/>
        <v>0</v>
      </c>
      <c r="R26" s="8">
        <v>450000</v>
      </c>
      <c r="S26" s="7">
        <v>0</v>
      </c>
      <c r="T26" s="8">
        <f t="shared" si="10"/>
        <v>0</v>
      </c>
      <c r="U26" s="8">
        <v>450000</v>
      </c>
      <c r="V26" s="7">
        <v>0</v>
      </c>
      <c r="W26" s="8">
        <f t="shared" si="11"/>
        <v>0</v>
      </c>
    </row>
    <row r="27" spans="2:23">
      <c r="B27" s="7" t="s">
        <v>241</v>
      </c>
      <c r="C27" s="8">
        <v>280000</v>
      </c>
      <c r="D27" s="7">
        <v>0</v>
      </c>
      <c r="E27" s="8">
        <f t="shared" si="6"/>
        <v>0</v>
      </c>
      <c r="F27" s="8">
        <v>280000</v>
      </c>
      <c r="G27" s="7">
        <v>0</v>
      </c>
      <c r="H27" s="8">
        <f t="shared" si="7"/>
        <v>0</v>
      </c>
      <c r="I27" s="8">
        <v>280000</v>
      </c>
      <c r="J27" s="7">
        <v>0</v>
      </c>
      <c r="K27" s="8">
        <f t="shared" si="8"/>
        <v>0</v>
      </c>
      <c r="N27" s="7" t="s">
        <v>241</v>
      </c>
      <c r="O27" s="8">
        <v>280000</v>
      </c>
      <c r="P27" s="7">
        <v>0</v>
      </c>
      <c r="Q27" s="8">
        <f t="shared" si="9"/>
        <v>0</v>
      </c>
      <c r="R27" s="8">
        <v>280000</v>
      </c>
      <c r="S27" s="7">
        <v>0</v>
      </c>
      <c r="T27" s="8">
        <f t="shared" si="10"/>
        <v>0</v>
      </c>
      <c r="U27" s="8">
        <v>280000</v>
      </c>
      <c r="V27" s="7">
        <v>0</v>
      </c>
      <c r="W27" s="8">
        <f t="shared" si="11"/>
        <v>0</v>
      </c>
    </row>
    <row r="28" spans="2:23" s="1" customFormat="1">
      <c r="B28" s="9"/>
      <c r="C28" s="9"/>
      <c r="D28" s="6" t="s">
        <v>48</v>
      </c>
      <c r="E28" s="10">
        <f>SUM(E19:E27)</f>
        <v>47936750</v>
      </c>
      <c r="F28" s="9"/>
      <c r="G28" s="6" t="s">
        <v>48</v>
      </c>
      <c r="H28" s="10">
        <f>SUM(H19:H27)</f>
        <v>55638252.380952403</v>
      </c>
      <c r="I28" s="9"/>
      <c r="J28" s="6" t="s">
        <v>48</v>
      </c>
      <c r="K28" s="10">
        <f>SUM(K19:K27)</f>
        <v>53819475</v>
      </c>
      <c r="N28" s="9"/>
      <c r="O28" s="9"/>
      <c r="P28" s="6" t="s">
        <v>48</v>
      </c>
      <c r="Q28" s="10">
        <f>SUM(Q19:Q27)</f>
        <v>47821750</v>
      </c>
      <c r="R28" s="9"/>
      <c r="S28" s="6" t="s">
        <v>48</v>
      </c>
      <c r="T28" s="15">
        <f>SUM(T19:T27)</f>
        <v>55523252.380952403</v>
      </c>
      <c r="U28" s="9"/>
      <c r="V28" s="6" t="s">
        <v>48</v>
      </c>
      <c r="W28" s="10">
        <f>SUM(W19:W27)</f>
        <v>53589475</v>
      </c>
    </row>
    <row r="29" spans="2:23">
      <c r="K29" s="14">
        <f>(E28+H28+K28)/3</f>
        <v>52464825.793650806</v>
      </c>
      <c r="W29" s="14">
        <f>(Q28+T28+W28)/3</f>
        <v>52311492.46031747</v>
      </c>
    </row>
    <row r="31" spans="2:23">
      <c r="C31" t="s">
        <v>280</v>
      </c>
      <c r="F31" t="s">
        <v>281</v>
      </c>
      <c r="I31" t="s">
        <v>282</v>
      </c>
      <c r="K31" s="14"/>
      <c r="W31" s="14"/>
    </row>
    <row r="32" spans="2:23">
      <c r="B32" s="354" t="s">
        <v>284</v>
      </c>
      <c r="C32" s="268" t="s">
        <v>10</v>
      </c>
      <c r="D32" s="347"/>
      <c r="E32" s="269"/>
      <c r="F32" s="268" t="s">
        <v>15</v>
      </c>
      <c r="G32" s="347"/>
      <c r="H32" s="269"/>
      <c r="I32" s="268" t="s">
        <v>17</v>
      </c>
      <c r="J32" s="347"/>
      <c r="K32" s="269"/>
      <c r="N32" s="354" t="s">
        <v>284</v>
      </c>
      <c r="O32" s="268" t="s">
        <v>10</v>
      </c>
      <c r="P32" s="347"/>
      <c r="Q32" s="269"/>
      <c r="R32" s="268" t="s">
        <v>15</v>
      </c>
      <c r="S32" s="347"/>
      <c r="T32" s="269"/>
      <c r="U32" s="268" t="s">
        <v>17</v>
      </c>
      <c r="V32" s="347"/>
      <c r="W32" s="269"/>
    </row>
    <row r="33" spans="2:23">
      <c r="B33" s="355"/>
      <c r="C33" s="5" t="s">
        <v>180</v>
      </c>
      <c r="D33" s="6" t="s">
        <v>41</v>
      </c>
      <c r="E33" s="6" t="s">
        <v>44</v>
      </c>
      <c r="F33" s="5" t="s">
        <v>180</v>
      </c>
      <c r="G33" s="6" t="s">
        <v>41</v>
      </c>
      <c r="H33" s="6" t="s">
        <v>44</v>
      </c>
      <c r="I33" s="5" t="s">
        <v>180</v>
      </c>
      <c r="J33" s="6" t="s">
        <v>41</v>
      </c>
      <c r="K33" s="6" t="s">
        <v>44</v>
      </c>
      <c r="N33" s="355"/>
      <c r="O33" s="5" t="s">
        <v>180</v>
      </c>
      <c r="P33" s="6" t="s">
        <v>41</v>
      </c>
      <c r="Q33" s="6" t="s">
        <v>44</v>
      </c>
      <c r="R33" s="5" t="s">
        <v>180</v>
      </c>
      <c r="S33" s="6" t="s">
        <v>41</v>
      </c>
      <c r="T33" s="6" t="s">
        <v>44</v>
      </c>
      <c r="U33" s="5" t="s">
        <v>180</v>
      </c>
      <c r="V33" s="6" t="s">
        <v>41</v>
      </c>
      <c r="W33" s="6" t="s">
        <v>44</v>
      </c>
    </row>
    <row r="34" spans="2:23">
      <c r="B34" s="7" t="s">
        <v>233</v>
      </c>
      <c r="C34" s="8">
        <v>36318400</v>
      </c>
      <c r="D34" s="7">
        <v>1</v>
      </c>
      <c r="E34" s="8">
        <f t="shared" ref="E34:E42" si="12">+C34*D34</f>
        <v>36318400</v>
      </c>
      <c r="F34" s="8">
        <v>38905952.380952403</v>
      </c>
      <c r="G34" s="7">
        <v>1</v>
      </c>
      <c r="H34" s="8">
        <f t="shared" ref="H34:H42" si="13">+F34*G34</f>
        <v>38905952.380952403</v>
      </c>
      <c r="I34" s="8">
        <v>39430125</v>
      </c>
      <c r="J34" s="7">
        <v>1</v>
      </c>
      <c r="K34" s="8">
        <f t="shared" ref="K34:K42" si="14">+I34*J34</f>
        <v>39430125</v>
      </c>
      <c r="N34" s="7" t="s">
        <v>233</v>
      </c>
      <c r="O34" s="8">
        <v>36318400</v>
      </c>
      <c r="P34" s="7">
        <v>1</v>
      </c>
      <c r="Q34" s="8">
        <f t="shared" ref="Q34:Q42" si="15">+O34*P34</f>
        <v>36318400</v>
      </c>
      <c r="R34" s="8">
        <v>38905952.380952403</v>
      </c>
      <c r="S34" s="7">
        <v>1</v>
      </c>
      <c r="T34" s="8">
        <f t="shared" ref="T34:T42" si="16">+R34*S34</f>
        <v>38905952.380952403</v>
      </c>
      <c r="U34" s="8">
        <v>39430125</v>
      </c>
      <c r="V34" s="7">
        <v>1</v>
      </c>
      <c r="W34" s="8">
        <f t="shared" ref="W34:W42" si="17">+U34*V34</f>
        <v>39430125</v>
      </c>
    </row>
    <row r="35" spans="2:23">
      <c r="B35" s="7" t="s">
        <v>234</v>
      </c>
      <c r="C35" s="8">
        <v>7904650</v>
      </c>
      <c r="D35" s="7">
        <v>1</v>
      </c>
      <c r="E35" s="8">
        <f t="shared" si="12"/>
        <v>7904650</v>
      </c>
      <c r="F35" s="8">
        <v>10550000</v>
      </c>
      <c r="G35" s="7">
        <v>1</v>
      </c>
      <c r="H35" s="8">
        <f t="shared" si="13"/>
        <v>10550000</v>
      </c>
      <c r="I35" s="8">
        <v>9766375</v>
      </c>
      <c r="J35" s="7">
        <v>1</v>
      </c>
      <c r="K35" s="8">
        <f t="shared" si="14"/>
        <v>9766375</v>
      </c>
      <c r="N35" s="7" t="s">
        <v>234</v>
      </c>
      <c r="O35" s="8">
        <v>7904650</v>
      </c>
      <c r="P35" s="7">
        <v>1</v>
      </c>
      <c r="Q35" s="8">
        <f t="shared" si="15"/>
        <v>7904650</v>
      </c>
      <c r="R35" s="8">
        <v>10550000</v>
      </c>
      <c r="S35" s="7">
        <v>1</v>
      </c>
      <c r="T35" s="8">
        <f t="shared" si="16"/>
        <v>10550000</v>
      </c>
      <c r="U35" s="8">
        <v>9766375</v>
      </c>
      <c r="V35" s="7">
        <v>1</v>
      </c>
      <c r="W35" s="8">
        <f t="shared" si="17"/>
        <v>9766375</v>
      </c>
    </row>
    <row r="36" spans="2:23">
      <c r="B36" s="7" t="s">
        <v>235</v>
      </c>
      <c r="C36" s="8">
        <v>6600</v>
      </c>
      <c r="D36" s="7">
        <v>0</v>
      </c>
      <c r="E36" s="8">
        <f t="shared" si="12"/>
        <v>0</v>
      </c>
      <c r="F36" s="8">
        <v>6600</v>
      </c>
      <c r="G36" s="7">
        <v>0</v>
      </c>
      <c r="H36" s="8">
        <f t="shared" si="13"/>
        <v>0</v>
      </c>
      <c r="I36" s="8">
        <v>6600</v>
      </c>
      <c r="J36" s="7">
        <v>0</v>
      </c>
      <c r="K36" s="8">
        <f t="shared" si="14"/>
        <v>0</v>
      </c>
      <c r="N36" s="7" t="s">
        <v>235</v>
      </c>
      <c r="O36" s="8">
        <v>4300</v>
      </c>
      <c r="P36" s="7">
        <v>0</v>
      </c>
      <c r="Q36" s="8">
        <f t="shared" si="15"/>
        <v>0</v>
      </c>
      <c r="R36" s="8">
        <v>4300</v>
      </c>
      <c r="S36" s="7">
        <v>0</v>
      </c>
      <c r="T36" s="8">
        <f t="shared" si="16"/>
        <v>0</v>
      </c>
      <c r="U36" s="8">
        <v>4300</v>
      </c>
      <c r="V36" s="7">
        <v>0</v>
      </c>
      <c r="W36" s="8">
        <f t="shared" si="17"/>
        <v>0</v>
      </c>
    </row>
    <row r="37" spans="2:23">
      <c r="B37" s="7" t="s">
        <v>236</v>
      </c>
      <c r="C37" s="8">
        <v>80300</v>
      </c>
      <c r="D37" s="7">
        <v>19</v>
      </c>
      <c r="E37" s="8">
        <f t="shared" si="12"/>
        <v>1525700</v>
      </c>
      <c r="F37" s="8">
        <v>80300</v>
      </c>
      <c r="G37" s="7">
        <v>41</v>
      </c>
      <c r="H37" s="8">
        <f t="shared" si="13"/>
        <v>3292300</v>
      </c>
      <c r="I37" s="8">
        <v>80300</v>
      </c>
      <c r="J37" s="7">
        <v>12</v>
      </c>
      <c r="K37" s="8">
        <f t="shared" si="14"/>
        <v>963600</v>
      </c>
      <c r="N37" s="7" t="s">
        <v>236</v>
      </c>
      <c r="O37" s="8">
        <v>80300</v>
      </c>
      <c r="P37" s="7">
        <v>19</v>
      </c>
      <c r="Q37" s="8">
        <f t="shared" si="15"/>
        <v>1525700</v>
      </c>
      <c r="R37" s="8">
        <v>80300</v>
      </c>
      <c r="S37" s="7">
        <v>41</v>
      </c>
      <c r="T37" s="8">
        <f t="shared" si="16"/>
        <v>3292300</v>
      </c>
      <c r="U37" s="8">
        <v>80300</v>
      </c>
      <c r="V37" s="7">
        <v>12</v>
      </c>
      <c r="W37" s="8">
        <f t="shared" si="17"/>
        <v>963600</v>
      </c>
    </row>
    <row r="38" spans="2:23">
      <c r="B38" s="7" t="s">
        <v>237</v>
      </c>
      <c r="C38" s="8">
        <v>1100000</v>
      </c>
      <c r="D38" s="7">
        <v>0.5</v>
      </c>
      <c r="E38" s="8">
        <f t="shared" si="12"/>
        <v>550000</v>
      </c>
      <c r="F38" s="8">
        <v>1100000</v>
      </c>
      <c r="G38" s="7">
        <v>0.5</v>
      </c>
      <c r="H38" s="8">
        <f t="shared" si="13"/>
        <v>550000</v>
      </c>
      <c r="I38" s="8">
        <v>1100000</v>
      </c>
      <c r="J38" s="7">
        <v>1</v>
      </c>
      <c r="K38" s="8">
        <f t="shared" si="14"/>
        <v>1100000</v>
      </c>
      <c r="N38" s="7" t="s">
        <v>237</v>
      </c>
      <c r="O38" s="8">
        <v>870000</v>
      </c>
      <c r="P38" s="7">
        <v>0.5</v>
      </c>
      <c r="Q38" s="8">
        <f t="shared" si="15"/>
        <v>435000</v>
      </c>
      <c r="R38" s="8">
        <v>870000</v>
      </c>
      <c r="S38" s="7">
        <v>0.5</v>
      </c>
      <c r="T38" s="8">
        <f t="shared" si="16"/>
        <v>435000</v>
      </c>
      <c r="U38" s="8">
        <v>870000</v>
      </c>
      <c r="V38" s="7">
        <v>1</v>
      </c>
      <c r="W38" s="8">
        <f t="shared" si="17"/>
        <v>870000</v>
      </c>
    </row>
    <row r="39" spans="2:23">
      <c r="B39" s="7" t="s">
        <v>238</v>
      </c>
      <c r="C39" s="8">
        <v>550000</v>
      </c>
      <c r="D39" s="7">
        <v>0</v>
      </c>
      <c r="E39" s="8">
        <f t="shared" si="12"/>
        <v>0</v>
      </c>
      <c r="F39" s="8">
        <v>550000</v>
      </c>
      <c r="G39" s="7">
        <v>0</v>
      </c>
      <c r="H39" s="8">
        <f t="shared" si="13"/>
        <v>0</v>
      </c>
      <c r="I39" s="8">
        <v>550000</v>
      </c>
      <c r="J39" s="7">
        <v>0</v>
      </c>
      <c r="K39" s="8">
        <f t="shared" si="14"/>
        <v>0</v>
      </c>
      <c r="N39" s="7" t="s">
        <v>238</v>
      </c>
      <c r="O39" s="8">
        <v>435000</v>
      </c>
      <c r="P39" s="7">
        <v>0</v>
      </c>
      <c r="Q39" s="8">
        <f t="shared" si="15"/>
        <v>0</v>
      </c>
      <c r="R39" s="8">
        <v>435000</v>
      </c>
      <c r="S39" s="7">
        <v>0</v>
      </c>
      <c r="T39" s="8">
        <f t="shared" si="16"/>
        <v>0</v>
      </c>
      <c r="U39" s="8">
        <v>435000</v>
      </c>
      <c r="V39" s="7">
        <v>0</v>
      </c>
      <c r="W39" s="8">
        <f t="shared" si="17"/>
        <v>0</v>
      </c>
    </row>
    <row r="40" spans="2:23">
      <c r="B40" s="7" t="s">
        <v>239</v>
      </c>
      <c r="C40" s="8">
        <v>420000</v>
      </c>
      <c r="D40" s="7">
        <v>0</v>
      </c>
      <c r="E40" s="8">
        <f t="shared" si="12"/>
        <v>0</v>
      </c>
      <c r="F40" s="8">
        <v>420000</v>
      </c>
      <c r="G40" s="7">
        <v>0</v>
      </c>
      <c r="H40" s="8">
        <f t="shared" si="13"/>
        <v>0</v>
      </c>
      <c r="I40" s="8">
        <v>420000</v>
      </c>
      <c r="J40" s="7">
        <v>0</v>
      </c>
      <c r="K40" s="8">
        <f t="shared" si="14"/>
        <v>0</v>
      </c>
      <c r="N40" s="7" t="s">
        <v>239</v>
      </c>
      <c r="O40" s="8">
        <v>420000</v>
      </c>
      <c r="P40" s="7">
        <v>0</v>
      </c>
      <c r="Q40" s="8">
        <f t="shared" si="15"/>
        <v>0</v>
      </c>
      <c r="R40" s="8">
        <v>420000</v>
      </c>
      <c r="S40" s="7">
        <v>0</v>
      </c>
      <c r="T40" s="8">
        <f t="shared" si="16"/>
        <v>0</v>
      </c>
      <c r="U40" s="8">
        <v>420000</v>
      </c>
      <c r="V40" s="7">
        <v>0</v>
      </c>
      <c r="W40" s="8">
        <f t="shared" si="17"/>
        <v>0</v>
      </c>
    </row>
    <row r="41" spans="2:23">
      <c r="B41" s="7" t="s">
        <v>240</v>
      </c>
      <c r="C41" s="8">
        <v>450000</v>
      </c>
      <c r="D41" s="7">
        <v>0</v>
      </c>
      <c r="E41" s="8">
        <f t="shared" si="12"/>
        <v>0</v>
      </c>
      <c r="F41" s="8">
        <v>450000</v>
      </c>
      <c r="G41" s="7">
        <v>0</v>
      </c>
      <c r="H41" s="8">
        <f t="shared" si="13"/>
        <v>0</v>
      </c>
      <c r="I41" s="8">
        <v>450000</v>
      </c>
      <c r="J41" s="7">
        <v>0</v>
      </c>
      <c r="K41" s="8">
        <f t="shared" si="14"/>
        <v>0</v>
      </c>
      <c r="N41" s="7" t="s">
        <v>240</v>
      </c>
      <c r="O41" s="8">
        <v>450000</v>
      </c>
      <c r="P41" s="7">
        <v>0</v>
      </c>
      <c r="Q41" s="8">
        <f t="shared" si="15"/>
        <v>0</v>
      </c>
      <c r="R41" s="8">
        <v>450000</v>
      </c>
      <c r="S41" s="7">
        <v>0</v>
      </c>
      <c r="T41" s="8">
        <f t="shared" si="16"/>
        <v>0</v>
      </c>
      <c r="U41" s="8">
        <v>450000</v>
      </c>
      <c r="V41" s="7">
        <v>0</v>
      </c>
      <c r="W41" s="8">
        <f t="shared" si="17"/>
        <v>0</v>
      </c>
    </row>
    <row r="42" spans="2:23">
      <c r="B42" s="7" t="s">
        <v>241</v>
      </c>
      <c r="C42" s="8">
        <v>280000</v>
      </c>
      <c r="D42" s="7">
        <v>0</v>
      </c>
      <c r="E42" s="8">
        <f t="shared" si="12"/>
        <v>0</v>
      </c>
      <c r="F42" s="8">
        <v>280000</v>
      </c>
      <c r="G42" s="7">
        <v>0</v>
      </c>
      <c r="H42" s="8">
        <f t="shared" si="13"/>
        <v>0</v>
      </c>
      <c r="I42" s="8">
        <v>280000</v>
      </c>
      <c r="J42" s="7">
        <v>0</v>
      </c>
      <c r="K42" s="8">
        <f t="shared" si="14"/>
        <v>0</v>
      </c>
      <c r="N42" s="7" t="s">
        <v>241</v>
      </c>
      <c r="O42" s="8">
        <v>280000</v>
      </c>
      <c r="P42" s="7">
        <v>0</v>
      </c>
      <c r="Q42" s="8">
        <f t="shared" si="15"/>
        <v>0</v>
      </c>
      <c r="R42" s="8">
        <v>280000</v>
      </c>
      <c r="S42" s="7">
        <v>0</v>
      </c>
      <c r="T42" s="8">
        <f t="shared" si="16"/>
        <v>0</v>
      </c>
      <c r="U42" s="8">
        <v>280000</v>
      </c>
      <c r="V42" s="7">
        <v>0</v>
      </c>
      <c r="W42" s="8">
        <f t="shared" si="17"/>
        <v>0</v>
      </c>
    </row>
    <row r="43" spans="2:23" s="1" customFormat="1">
      <c r="B43" s="9"/>
      <c r="C43" s="9"/>
      <c r="D43" s="6" t="s">
        <v>48</v>
      </c>
      <c r="E43" s="10">
        <f>SUM(E34:E42)</f>
        <v>46298750</v>
      </c>
      <c r="F43" s="9"/>
      <c r="G43" s="6" t="s">
        <v>48</v>
      </c>
      <c r="H43" s="10">
        <f>SUM(H34:H42)</f>
        <v>53298252.380952403</v>
      </c>
      <c r="I43" s="9"/>
      <c r="J43" s="6" t="s">
        <v>48</v>
      </c>
      <c r="K43" s="10">
        <f>SUM(K34:K42)</f>
        <v>51260100</v>
      </c>
      <c r="N43" s="9"/>
      <c r="O43" s="9"/>
      <c r="P43" s="6" t="s">
        <v>48</v>
      </c>
      <c r="Q43" s="10">
        <f>SUM(Q34:Q42)</f>
        <v>46183750</v>
      </c>
      <c r="R43" s="9"/>
      <c r="S43" s="6" t="s">
        <v>48</v>
      </c>
      <c r="T43" s="15">
        <f>SUM(T34:T42)</f>
        <v>53183252.380952403</v>
      </c>
      <c r="U43" s="9"/>
      <c r="V43" s="6" t="s">
        <v>48</v>
      </c>
      <c r="W43" s="10">
        <f>SUM(W34:W42)</f>
        <v>51030100</v>
      </c>
    </row>
    <row r="44" spans="2:23" s="1" customFormat="1">
      <c r="D44" s="11"/>
      <c r="E44" s="12"/>
      <c r="G44" s="11"/>
      <c r="H44" s="12"/>
      <c r="J44" s="11"/>
      <c r="K44" s="14">
        <f>(E43+H43+K43)/3</f>
        <v>50285700.793650806</v>
      </c>
      <c r="P44" s="11"/>
      <c r="Q44" s="12"/>
      <c r="S44" s="11"/>
      <c r="T44" s="16"/>
      <c r="V44" s="11"/>
      <c r="W44" s="14">
        <f>(Q43+T43+W43)/3</f>
        <v>50132367.46031747</v>
      </c>
    </row>
    <row r="46" spans="2:23">
      <c r="B46" s="354" t="s">
        <v>285</v>
      </c>
      <c r="C46" s="268" t="s">
        <v>10</v>
      </c>
      <c r="D46" s="347"/>
      <c r="E46" s="269"/>
      <c r="F46" s="268" t="s">
        <v>15</v>
      </c>
      <c r="G46" s="347"/>
      <c r="H46" s="269"/>
      <c r="I46" s="268" t="s">
        <v>17</v>
      </c>
      <c r="J46" s="347"/>
      <c r="K46" s="269"/>
      <c r="N46" s="354" t="s">
        <v>285</v>
      </c>
      <c r="O46" s="268" t="s">
        <v>10</v>
      </c>
      <c r="P46" s="347"/>
      <c r="Q46" s="269"/>
      <c r="R46" s="268" t="s">
        <v>15</v>
      </c>
      <c r="S46" s="347"/>
      <c r="T46" s="269"/>
      <c r="U46" s="268" t="s">
        <v>17</v>
      </c>
      <c r="V46" s="347"/>
      <c r="W46" s="269"/>
    </row>
    <row r="47" spans="2:23">
      <c r="B47" s="355"/>
      <c r="C47" s="5" t="s">
        <v>180</v>
      </c>
      <c r="D47" s="6" t="s">
        <v>41</v>
      </c>
      <c r="E47" s="6" t="s">
        <v>44</v>
      </c>
      <c r="F47" s="5" t="s">
        <v>180</v>
      </c>
      <c r="G47" s="6" t="s">
        <v>41</v>
      </c>
      <c r="H47" s="6" t="s">
        <v>44</v>
      </c>
      <c r="I47" s="5" t="s">
        <v>180</v>
      </c>
      <c r="J47" s="6" t="s">
        <v>41</v>
      </c>
      <c r="K47" s="6" t="s">
        <v>44</v>
      </c>
      <c r="N47" s="355"/>
      <c r="O47" s="5" t="s">
        <v>180</v>
      </c>
      <c r="P47" s="6" t="s">
        <v>41</v>
      </c>
      <c r="Q47" s="6" t="s">
        <v>44</v>
      </c>
      <c r="R47" s="5" t="s">
        <v>180</v>
      </c>
      <c r="S47" s="6" t="s">
        <v>41</v>
      </c>
      <c r="T47" s="6" t="s">
        <v>44</v>
      </c>
      <c r="U47" s="5" t="s">
        <v>180</v>
      </c>
      <c r="V47" s="6" t="s">
        <v>41</v>
      </c>
      <c r="W47" s="6" t="s">
        <v>44</v>
      </c>
    </row>
    <row r="48" spans="2:23">
      <c r="B48" s="7" t="s">
        <v>233</v>
      </c>
      <c r="C48" s="8">
        <v>38730333.333333299</v>
      </c>
      <c r="D48" s="7">
        <v>1</v>
      </c>
      <c r="E48" s="8">
        <f t="shared" ref="E48:E56" si="18">+C48*D48</f>
        <v>38730333.333333299</v>
      </c>
      <c r="F48" s="8">
        <v>39050538.461538501</v>
      </c>
      <c r="G48" s="7">
        <v>1</v>
      </c>
      <c r="H48" s="13">
        <f t="shared" ref="H48:H56" si="19">+F48*G48</f>
        <v>39050538.461538501</v>
      </c>
      <c r="I48" s="8">
        <v>39207500</v>
      </c>
      <c r="J48" s="7">
        <v>1</v>
      </c>
      <c r="K48" s="8">
        <f t="shared" ref="K48:K56" si="20">+I48*J48</f>
        <v>39207500</v>
      </c>
      <c r="N48" s="7" t="s">
        <v>233</v>
      </c>
      <c r="O48" s="8">
        <v>38730333.333333299</v>
      </c>
      <c r="P48" s="7">
        <v>1</v>
      </c>
      <c r="Q48" s="8">
        <f t="shared" ref="Q48:Q56" si="21">+O48*P48</f>
        <v>38730333.333333299</v>
      </c>
      <c r="R48" s="8">
        <v>39050538.461538501</v>
      </c>
      <c r="S48" s="7">
        <v>1</v>
      </c>
      <c r="T48" s="8">
        <f t="shared" ref="T48:T56" si="22">+R48*S48</f>
        <v>39050538.461538501</v>
      </c>
      <c r="U48" s="8">
        <v>39207500</v>
      </c>
      <c r="V48" s="7">
        <v>1</v>
      </c>
      <c r="W48" s="8">
        <f t="shared" ref="W48:W56" si="23">+U48*V48</f>
        <v>39207500</v>
      </c>
    </row>
    <row r="49" spans="2:23">
      <c r="B49" s="7" t="s">
        <v>234</v>
      </c>
      <c r="C49" s="8">
        <v>7031111.1111111101</v>
      </c>
      <c r="D49" s="7">
        <v>1</v>
      </c>
      <c r="E49" s="8">
        <f t="shared" si="18"/>
        <v>7031111.1111111101</v>
      </c>
      <c r="F49" s="8">
        <v>9786923.0769230798</v>
      </c>
      <c r="G49" s="7">
        <v>1</v>
      </c>
      <c r="H49" s="13">
        <f t="shared" si="19"/>
        <v>9786923.0769230798</v>
      </c>
      <c r="I49" s="8">
        <v>9298500</v>
      </c>
      <c r="J49" s="7">
        <v>1</v>
      </c>
      <c r="K49" s="8">
        <f t="shared" si="20"/>
        <v>9298500</v>
      </c>
      <c r="N49" s="7" t="s">
        <v>234</v>
      </c>
      <c r="O49" s="8">
        <v>7031111.1111111101</v>
      </c>
      <c r="P49" s="7">
        <v>1</v>
      </c>
      <c r="Q49" s="8">
        <f t="shared" si="21"/>
        <v>7031111.1111111101</v>
      </c>
      <c r="R49" s="8">
        <v>9786923.0769230798</v>
      </c>
      <c r="S49" s="7">
        <v>1</v>
      </c>
      <c r="T49" s="8">
        <f t="shared" si="22"/>
        <v>9786923.0769230798</v>
      </c>
      <c r="U49" s="8">
        <v>9298500</v>
      </c>
      <c r="V49" s="7">
        <v>1</v>
      </c>
      <c r="W49" s="8">
        <f t="shared" si="23"/>
        <v>9298500</v>
      </c>
    </row>
    <row r="50" spans="2:23">
      <c r="B50" s="7" t="s">
        <v>235</v>
      </c>
      <c r="C50" s="8">
        <v>6600</v>
      </c>
      <c r="D50" s="7">
        <v>0</v>
      </c>
      <c r="E50" s="8">
        <f t="shared" si="18"/>
        <v>0</v>
      </c>
      <c r="F50" s="8">
        <v>6600</v>
      </c>
      <c r="G50" s="7">
        <v>0</v>
      </c>
      <c r="H50" s="13">
        <f t="shared" si="19"/>
        <v>0</v>
      </c>
      <c r="I50" s="8">
        <v>6600</v>
      </c>
      <c r="J50" s="7">
        <v>0</v>
      </c>
      <c r="K50" s="8">
        <f t="shared" si="20"/>
        <v>0</v>
      </c>
      <c r="N50" s="7" t="s">
        <v>235</v>
      </c>
      <c r="O50" s="8">
        <v>4300</v>
      </c>
      <c r="P50" s="7">
        <v>0</v>
      </c>
      <c r="Q50" s="8">
        <f t="shared" si="21"/>
        <v>0</v>
      </c>
      <c r="R50" s="8">
        <v>4300</v>
      </c>
      <c r="S50" s="7">
        <v>0</v>
      </c>
      <c r="T50" s="8">
        <f t="shared" si="22"/>
        <v>0</v>
      </c>
      <c r="U50" s="8">
        <v>4300</v>
      </c>
      <c r="V50" s="7">
        <v>0</v>
      </c>
      <c r="W50" s="8">
        <f t="shared" si="23"/>
        <v>0</v>
      </c>
    </row>
    <row r="51" spans="2:23">
      <c r="B51" s="7" t="s">
        <v>236</v>
      </c>
      <c r="C51" s="8">
        <v>80300</v>
      </c>
      <c r="D51" s="7">
        <v>19</v>
      </c>
      <c r="E51" s="8">
        <f t="shared" si="18"/>
        <v>1525700</v>
      </c>
      <c r="F51" s="8">
        <v>80300</v>
      </c>
      <c r="G51" s="7">
        <v>41</v>
      </c>
      <c r="H51" s="13">
        <f t="shared" si="19"/>
        <v>3292300</v>
      </c>
      <c r="I51" s="8">
        <v>80300</v>
      </c>
      <c r="J51" s="7">
        <v>12</v>
      </c>
      <c r="K51" s="8">
        <f t="shared" si="20"/>
        <v>963600</v>
      </c>
      <c r="N51" s="7" t="s">
        <v>236</v>
      </c>
      <c r="O51" s="8">
        <v>80300</v>
      </c>
      <c r="P51" s="7">
        <v>19</v>
      </c>
      <c r="Q51" s="8">
        <f t="shared" si="21"/>
        <v>1525700</v>
      </c>
      <c r="R51" s="8">
        <v>80300</v>
      </c>
      <c r="S51" s="7">
        <v>41</v>
      </c>
      <c r="T51" s="8">
        <f t="shared" si="22"/>
        <v>3292300</v>
      </c>
      <c r="U51" s="8">
        <v>80300</v>
      </c>
      <c r="V51" s="7">
        <v>12</v>
      </c>
      <c r="W51" s="8">
        <f t="shared" si="23"/>
        <v>963600</v>
      </c>
    </row>
    <row r="52" spans="2:23">
      <c r="B52" s="7" t="s">
        <v>237</v>
      </c>
      <c r="C52" s="8">
        <v>1100000</v>
      </c>
      <c r="D52" s="7">
        <v>0.5</v>
      </c>
      <c r="E52" s="8">
        <f t="shared" si="18"/>
        <v>550000</v>
      </c>
      <c r="F52" s="8">
        <v>1100000</v>
      </c>
      <c r="G52" s="7">
        <v>0.5</v>
      </c>
      <c r="H52" s="13">
        <f t="shared" si="19"/>
        <v>550000</v>
      </c>
      <c r="I52" s="8">
        <v>1100000</v>
      </c>
      <c r="J52" s="7">
        <v>1</v>
      </c>
      <c r="K52" s="8">
        <f t="shared" si="20"/>
        <v>1100000</v>
      </c>
      <c r="N52" s="7" t="s">
        <v>237</v>
      </c>
      <c r="O52" s="8">
        <v>870000</v>
      </c>
      <c r="P52" s="7">
        <v>0.5</v>
      </c>
      <c r="Q52" s="8">
        <f t="shared" si="21"/>
        <v>435000</v>
      </c>
      <c r="R52" s="8">
        <v>870000</v>
      </c>
      <c r="S52" s="7">
        <v>0.5</v>
      </c>
      <c r="T52" s="8">
        <f t="shared" si="22"/>
        <v>435000</v>
      </c>
      <c r="U52" s="8">
        <v>870000</v>
      </c>
      <c r="V52" s="7">
        <v>1</v>
      </c>
      <c r="W52" s="8">
        <f t="shared" si="23"/>
        <v>870000</v>
      </c>
    </row>
    <row r="53" spans="2:23">
      <c r="B53" s="7" t="s">
        <v>238</v>
      </c>
      <c r="C53" s="8">
        <v>550000</v>
      </c>
      <c r="D53" s="7">
        <v>0</v>
      </c>
      <c r="E53" s="8">
        <f t="shared" si="18"/>
        <v>0</v>
      </c>
      <c r="F53" s="8">
        <v>550000</v>
      </c>
      <c r="G53" s="7">
        <v>0</v>
      </c>
      <c r="H53" s="13">
        <f t="shared" si="19"/>
        <v>0</v>
      </c>
      <c r="I53" s="8">
        <v>550000</v>
      </c>
      <c r="J53" s="7">
        <v>0</v>
      </c>
      <c r="K53" s="8">
        <f t="shared" si="20"/>
        <v>0</v>
      </c>
      <c r="N53" s="7" t="s">
        <v>238</v>
      </c>
      <c r="O53" s="8">
        <v>435000</v>
      </c>
      <c r="P53" s="7">
        <v>0</v>
      </c>
      <c r="Q53" s="8">
        <f t="shared" si="21"/>
        <v>0</v>
      </c>
      <c r="R53" s="8">
        <v>435000</v>
      </c>
      <c r="S53" s="7">
        <v>0</v>
      </c>
      <c r="T53" s="8">
        <f t="shared" si="22"/>
        <v>0</v>
      </c>
      <c r="U53" s="8">
        <v>435000</v>
      </c>
      <c r="V53" s="7">
        <v>0</v>
      </c>
      <c r="W53" s="8">
        <f t="shared" si="23"/>
        <v>0</v>
      </c>
    </row>
    <row r="54" spans="2:23">
      <c r="B54" s="7" t="s">
        <v>239</v>
      </c>
      <c r="C54" s="8">
        <v>420000</v>
      </c>
      <c r="D54" s="7">
        <v>0</v>
      </c>
      <c r="E54" s="8">
        <f t="shared" si="18"/>
        <v>0</v>
      </c>
      <c r="F54" s="8">
        <v>420000</v>
      </c>
      <c r="G54" s="7">
        <v>0</v>
      </c>
      <c r="H54" s="13">
        <f t="shared" si="19"/>
        <v>0</v>
      </c>
      <c r="I54" s="8">
        <v>420000</v>
      </c>
      <c r="J54" s="7">
        <v>0</v>
      </c>
      <c r="K54" s="8">
        <f t="shared" si="20"/>
        <v>0</v>
      </c>
      <c r="N54" s="7" t="s">
        <v>239</v>
      </c>
      <c r="O54" s="8">
        <v>420000</v>
      </c>
      <c r="P54" s="7">
        <v>0</v>
      </c>
      <c r="Q54" s="8">
        <f t="shared" si="21"/>
        <v>0</v>
      </c>
      <c r="R54" s="8">
        <v>420000</v>
      </c>
      <c r="S54" s="7">
        <v>0</v>
      </c>
      <c r="T54" s="8">
        <f t="shared" si="22"/>
        <v>0</v>
      </c>
      <c r="U54" s="8">
        <v>420000</v>
      </c>
      <c r="V54" s="7">
        <v>0</v>
      </c>
      <c r="W54" s="8">
        <f t="shared" si="23"/>
        <v>0</v>
      </c>
    </row>
    <row r="55" spans="2:23">
      <c r="B55" s="7" t="s">
        <v>240</v>
      </c>
      <c r="C55" s="8">
        <v>450000</v>
      </c>
      <c r="D55" s="7">
        <v>0</v>
      </c>
      <c r="E55" s="8">
        <f t="shared" si="18"/>
        <v>0</v>
      </c>
      <c r="F55" s="8">
        <v>450000</v>
      </c>
      <c r="G55" s="7">
        <v>0</v>
      </c>
      <c r="H55" s="13">
        <f t="shared" si="19"/>
        <v>0</v>
      </c>
      <c r="I55" s="8">
        <v>450000</v>
      </c>
      <c r="J55" s="7">
        <v>0</v>
      </c>
      <c r="K55" s="8">
        <f t="shared" si="20"/>
        <v>0</v>
      </c>
      <c r="N55" s="7" t="s">
        <v>240</v>
      </c>
      <c r="O55" s="8">
        <v>450000</v>
      </c>
      <c r="P55" s="7">
        <v>0</v>
      </c>
      <c r="Q55" s="8">
        <f t="shared" si="21"/>
        <v>0</v>
      </c>
      <c r="R55" s="8">
        <v>450000</v>
      </c>
      <c r="S55" s="7">
        <v>0</v>
      </c>
      <c r="T55" s="8">
        <f t="shared" si="22"/>
        <v>0</v>
      </c>
      <c r="U55" s="8">
        <v>450000</v>
      </c>
      <c r="V55" s="7">
        <v>0</v>
      </c>
      <c r="W55" s="8">
        <f t="shared" si="23"/>
        <v>0</v>
      </c>
    </row>
    <row r="56" spans="2:23">
      <c r="B56" s="7" t="s">
        <v>241</v>
      </c>
      <c r="C56" s="8">
        <v>230000</v>
      </c>
      <c r="D56" s="7">
        <v>0</v>
      </c>
      <c r="E56" s="8">
        <f t="shared" si="18"/>
        <v>0</v>
      </c>
      <c r="F56" s="8">
        <v>230000</v>
      </c>
      <c r="G56" s="7">
        <v>0</v>
      </c>
      <c r="H56" s="13">
        <f t="shared" si="19"/>
        <v>0</v>
      </c>
      <c r="I56" s="8">
        <v>230000</v>
      </c>
      <c r="J56" s="7">
        <v>0</v>
      </c>
      <c r="K56" s="8">
        <f t="shared" si="20"/>
        <v>0</v>
      </c>
      <c r="N56" s="7" t="s">
        <v>241</v>
      </c>
      <c r="O56" s="8">
        <v>230000</v>
      </c>
      <c r="P56" s="7">
        <v>0</v>
      </c>
      <c r="Q56" s="8">
        <f t="shared" si="21"/>
        <v>0</v>
      </c>
      <c r="R56" s="8">
        <v>230000</v>
      </c>
      <c r="S56" s="7">
        <v>0</v>
      </c>
      <c r="T56" s="8">
        <f t="shared" si="22"/>
        <v>0</v>
      </c>
      <c r="U56" s="8">
        <v>230000</v>
      </c>
      <c r="V56" s="7">
        <v>0</v>
      </c>
      <c r="W56" s="8">
        <f t="shared" si="23"/>
        <v>0</v>
      </c>
    </row>
    <row r="57" spans="2:23">
      <c r="B57" s="9"/>
      <c r="C57" s="9"/>
      <c r="D57" s="6" t="s">
        <v>48</v>
      </c>
      <c r="E57" s="10">
        <f>SUM(E48:E56)</f>
        <v>47837144.444444411</v>
      </c>
      <c r="F57" s="9"/>
      <c r="G57" s="6" t="s">
        <v>48</v>
      </c>
      <c r="H57" s="10">
        <f>SUM(H48:H56)</f>
        <v>52679761.538461581</v>
      </c>
      <c r="I57" s="9"/>
      <c r="J57" s="6" t="s">
        <v>48</v>
      </c>
      <c r="K57" s="10">
        <f>SUM(K48:K56)</f>
        <v>50569600</v>
      </c>
      <c r="N57" s="9"/>
      <c r="O57" s="9"/>
      <c r="P57" s="6" t="s">
        <v>48</v>
      </c>
      <c r="Q57" s="10">
        <f>SUM(Q48:Q56)</f>
        <v>47722144.444444411</v>
      </c>
      <c r="R57" s="9"/>
      <c r="S57" s="6" t="s">
        <v>48</v>
      </c>
      <c r="T57" s="15">
        <f>SUM(T48:T56)</f>
        <v>52564761.538461581</v>
      </c>
      <c r="U57" s="9"/>
      <c r="V57" s="6" t="s">
        <v>48</v>
      </c>
      <c r="W57" s="10">
        <f>SUM(W48:W56)</f>
        <v>50339600</v>
      </c>
    </row>
    <row r="58" spans="2:23">
      <c r="K58" s="14">
        <f>(E57+H57+K57)/3</f>
        <v>50362168.660968661</v>
      </c>
      <c r="W58" s="14">
        <f>(Q57+T57+W57)/3</f>
        <v>50208835.327635325</v>
      </c>
    </row>
    <row r="59" spans="2:23">
      <c r="K59" s="14"/>
      <c r="W59" s="14"/>
    </row>
    <row r="60" spans="2:23">
      <c r="B60" s="354" t="s">
        <v>286</v>
      </c>
      <c r="C60" s="268" t="s">
        <v>10</v>
      </c>
      <c r="D60" s="347"/>
      <c r="E60" s="269"/>
      <c r="F60" s="268" t="s">
        <v>15</v>
      </c>
      <c r="G60" s="347"/>
      <c r="H60" s="269"/>
      <c r="I60" s="268" t="s">
        <v>17</v>
      </c>
      <c r="J60" s="347"/>
      <c r="K60" s="269"/>
      <c r="N60" s="354" t="s">
        <v>286</v>
      </c>
      <c r="O60" s="268" t="s">
        <v>10</v>
      </c>
      <c r="P60" s="347"/>
      <c r="Q60" s="269"/>
      <c r="R60" s="268" t="s">
        <v>15</v>
      </c>
      <c r="S60" s="347"/>
      <c r="T60" s="269"/>
      <c r="U60" s="268" t="s">
        <v>17</v>
      </c>
      <c r="V60" s="347"/>
      <c r="W60" s="269"/>
    </row>
    <row r="61" spans="2:23">
      <c r="B61" s="355"/>
      <c r="C61" s="5" t="s">
        <v>180</v>
      </c>
      <c r="D61" s="6" t="s">
        <v>41</v>
      </c>
      <c r="E61" s="6" t="s">
        <v>44</v>
      </c>
      <c r="F61" s="5" t="s">
        <v>180</v>
      </c>
      <c r="G61" s="6" t="s">
        <v>41</v>
      </c>
      <c r="H61" s="6" t="s">
        <v>44</v>
      </c>
      <c r="I61" s="5" t="s">
        <v>180</v>
      </c>
      <c r="J61" s="6" t="s">
        <v>41</v>
      </c>
      <c r="K61" s="6" t="s">
        <v>44</v>
      </c>
      <c r="N61" s="355"/>
      <c r="O61" s="5" t="s">
        <v>180</v>
      </c>
      <c r="P61" s="6" t="s">
        <v>41</v>
      </c>
      <c r="Q61" s="6" t="s">
        <v>44</v>
      </c>
      <c r="R61" s="5" t="s">
        <v>180</v>
      </c>
      <c r="S61" s="6" t="s">
        <v>41</v>
      </c>
      <c r="T61" s="6" t="s">
        <v>44</v>
      </c>
      <c r="U61" s="5" t="s">
        <v>180</v>
      </c>
      <c r="V61" s="6" t="s">
        <v>41</v>
      </c>
      <c r="W61" s="6" t="s">
        <v>44</v>
      </c>
    </row>
    <row r="62" spans="2:23">
      <c r="B62" s="7" t="s">
        <v>233</v>
      </c>
      <c r="C62" s="8">
        <v>35682222.222222202</v>
      </c>
      <c r="D62" s="7">
        <v>1</v>
      </c>
      <c r="E62" s="8">
        <f t="shared" ref="E62:E70" si="24">+C62*D62</f>
        <v>35682222.222222202</v>
      </c>
      <c r="F62" s="8">
        <v>35975076.923076898</v>
      </c>
      <c r="G62" s="7">
        <v>1</v>
      </c>
      <c r="H62" s="13">
        <f t="shared" ref="H62:H70" si="25">+F62*G62</f>
        <v>35975076.923076898</v>
      </c>
      <c r="I62" s="8">
        <v>36203833.333333299</v>
      </c>
      <c r="J62" s="7">
        <v>1</v>
      </c>
      <c r="K62" s="8">
        <f t="shared" ref="K62:K70" si="26">+I62*J62</f>
        <v>36203833.333333299</v>
      </c>
      <c r="N62" s="7" t="s">
        <v>233</v>
      </c>
      <c r="O62" s="8">
        <v>35682222.222222202</v>
      </c>
      <c r="P62" s="7">
        <v>1</v>
      </c>
      <c r="Q62" s="8">
        <f t="shared" ref="Q62:Q70" si="27">+O62*P62</f>
        <v>35682222.222222202</v>
      </c>
      <c r="R62" s="8">
        <v>35975076.923076898</v>
      </c>
      <c r="S62" s="7">
        <v>1</v>
      </c>
      <c r="T62" s="8">
        <f t="shared" ref="T62:T70" si="28">+R62*S62</f>
        <v>35975076.923076898</v>
      </c>
      <c r="U62" s="8">
        <v>36203833.333333299</v>
      </c>
      <c r="V62" s="7">
        <v>1</v>
      </c>
      <c r="W62" s="8">
        <f t="shared" ref="W62:W70" si="29">+U62*V62</f>
        <v>36203833.333333299</v>
      </c>
    </row>
    <row r="63" spans="2:23">
      <c r="B63" s="7" t="s">
        <v>234</v>
      </c>
      <c r="C63" s="8">
        <v>7021111.1111111101</v>
      </c>
      <c r="D63" s="7">
        <v>1</v>
      </c>
      <c r="E63" s="8">
        <f t="shared" si="24"/>
        <v>7021111.1111111101</v>
      </c>
      <c r="F63" s="8">
        <v>9786923.0769230798</v>
      </c>
      <c r="G63" s="7">
        <v>1</v>
      </c>
      <c r="H63" s="13">
        <f t="shared" si="25"/>
        <v>9786923.0769230798</v>
      </c>
      <c r="I63" s="8">
        <v>9298500</v>
      </c>
      <c r="J63" s="7">
        <v>1</v>
      </c>
      <c r="K63" s="8">
        <f t="shared" si="26"/>
        <v>9298500</v>
      </c>
      <c r="N63" s="7" t="s">
        <v>234</v>
      </c>
      <c r="O63" s="8">
        <v>7021111.1111111101</v>
      </c>
      <c r="P63" s="7">
        <v>1</v>
      </c>
      <c r="Q63" s="8">
        <f t="shared" si="27"/>
        <v>7021111.1111111101</v>
      </c>
      <c r="R63" s="8">
        <v>9786923.0769230798</v>
      </c>
      <c r="S63" s="7">
        <v>1</v>
      </c>
      <c r="T63" s="8">
        <f t="shared" si="28"/>
        <v>9786923.0769230798</v>
      </c>
      <c r="U63" s="8">
        <v>9298500</v>
      </c>
      <c r="V63" s="7">
        <v>1</v>
      </c>
      <c r="W63" s="8">
        <f t="shared" si="29"/>
        <v>9298500</v>
      </c>
    </row>
    <row r="64" spans="2:23">
      <c r="B64" s="7" t="s">
        <v>235</v>
      </c>
      <c r="C64" s="8">
        <v>6600</v>
      </c>
      <c r="D64" s="7">
        <v>0</v>
      </c>
      <c r="E64" s="8">
        <f t="shared" si="24"/>
        <v>0</v>
      </c>
      <c r="F64" s="8">
        <v>6600</v>
      </c>
      <c r="G64" s="7">
        <v>0</v>
      </c>
      <c r="H64" s="13">
        <f t="shared" si="25"/>
        <v>0</v>
      </c>
      <c r="I64" s="8">
        <v>6600</v>
      </c>
      <c r="J64" s="7">
        <v>0</v>
      </c>
      <c r="K64" s="8">
        <f t="shared" si="26"/>
        <v>0</v>
      </c>
      <c r="N64" s="7" t="s">
        <v>235</v>
      </c>
      <c r="O64" s="8">
        <v>4300</v>
      </c>
      <c r="P64" s="7">
        <v>0</v>
      </c>
      <c r="Q64" s="8">
        <f t="shared" si="27"/>
        <v>0</v>
      </c>
      <c r="R64" s="8">
        <v>4300</v>
      </c>
      <c r="S64" s="7">
        <v>0</v>
      </c>
      <c r="T64" s="8">
        <f t="shared" si="28"/>
        <v>0</v>
      </c>
      <c r="U64" s="8">
        <v>4300</v>
      </c>
      <c r="V64" s="7">
        <v>0</v>
      </c>
      <c r="W64" s="8">
        <f t="shared" si="29"/>
        <v>0</v>
      </c>
    </row>
    <row r="65" spans="2:23">
      <c r="B65" s="7" t="s">
        <v>236</v>
      </c>
      <c r="C65" s="8">
        <v>80300</v>
      </c>
      <c r="D65" s="7">
        <v>19</v>
      </c>
      <c r="E65" s="8">
        <f t="shared" si="24"/>
        <v>1525700</v>
      </c>
      <c r="F65" s="8">
        <v>80300</v>
      </c>
      <c r="G65" s="7">
        <v>41</v>
      </c>
      <c r="H65" s="13">
        <f t="shared" si="25"/>
        <v>3292300</v>
      </c>
      <c r="I65" s="8">
        <v>80300</v>
      </c>
      <c r="J65" s="7">
        <v>12</v>
      </c>
      <c r="K65" s="8">
        <f t="shared" si="26"/>
        <v>963600</v>
      </c>
      <c r="N65" s="7" t="s">
        <v>236</v>
      </c>
      <c r="O65" s="8">
        <v>80300</v>
      </c>
      <c r="P65" s="7">
        <v>19</v>
      </c>
      <c r="Q65" s="8">
        <f t="shared" si="27"/>
        <v>1525700</v>
      </c>
      <c r="R65" s="8">
        <v>80300</v>
      </c>
      <c r="S65" s="7">
        <v>41</v>
      </c>
      <c r="T65" s="8">
        <f t="shared" si="28"/>
        <v>3292300</v>
      </c>
      <c r="U65" s="8">
        <v>80300</v>
      </c>
      <c r="V65" s="7">
        <v>12</v>
      </c>
      <c r="W65" s="8">
        <f t="shared" si="29"/>
        <v>963600</v>
      </c>
    </row>
    <row r="66" spans="2:23">
      <c r="B66" s="7" t="s">
        <v>237</v>
      </c>
      <c r="C66" s="8">
        <v>1100000</v>
      </c>
      <c r="D66" s="7">
        <v>0.5</v>
      </c>
      <c r="E66" s="8">
        <f t="shared" si="24"/>
        <v>550000</v>
      </c>
      <c r="F66" s="8">
        <v>1100000</v>
      </c>
      <c r="G66" s="7">
        <v>0.5</v>
      </c>
      <c r="H66" s="13">
        <f t="shared" si="25"/>
        <v>550000</v>
      </c>
      <c r="I66" s="8">
        <v>1100000</v>
      </c>
      <c r="J66" s="7">
        <v>1</v>
      </c>
      <c r="K66" s="8">
        <f t="shared" si="26"/>
        <v>1100000</v>
      </c>
      <c r="N66" s="7" t="s">
        <v>237</v>
      </c>
      <c r="O66" s="8">
        <v>870000</v>
      </c>
      <c r="P66" s="7">
        <v>0.5</v>
      </c>
      <c r="Q66" s="8">
        <f t="shared" si="27"/>
        <v>435000</v>
      </c>
      <c r="R66" s="8">
        <v>870000</v>
      </c>
      <c r="S66" s="7">
        <v>0.5</v>
      </c>
      <c r="T66" s="8">
        <f t="shared" si="28"/>
        <v>435000</v>
      </c>
      <c r="U66" s="8">
        <v>870000</v>
      </c>
      <c r="V66" s="7">
        <v>1</v>
      </c>
      <c r="W66" s="8">
        <f t="shared" si="29"/>
        <v>870000</v>
      </c>
    </row>
    <row r="67" spans="2:23">
      <c r="B67" s="7" t="s">
        <v>238</v>
      </c>
      <c r="C67" s="8">
        <v>550000</v>
      </c>
      <c r="D67" s="7">
        <v>0</v>
      </c>
      <c r="E67" s="8">
        <f t="shared" si="24"/>
        <v>0</v>
      </c>
      <c r="F67" s="8">
        <v>550000</v>
      </c>
      <c r="G67" s="7">
        <v>0</v>
      </c>
      <c r="H67" s="13">
        <f t="shared" si="25"/>
        <v>0</v>
      </c>
      <c r="I67" s="8">
        <v>550000</v>
      </c>
      <c r="J67" s="7">
        <v>0</v>
      </c>
      <c r="K67" s="8">
        <f t="shared" si="26"/>
        <v>0</v>
      </c>
      <c r="N67" s="7" t="s">
        <v>238</v>
      </c>
      <c r="O67" s="8">
        <v>435000</v>
      </c>
      <c r="P67" s="7">
        <v>0</v>
      </c>
      <c r="Q67" s="8">
        <f t="shared" si="27"/>
        <v>0</v>
      </c>
      <c r="R67" s="8">
        <v>435000</v>
      </c>
      <c r="S67" s="7">
        <v>0</v>
      </c>
      <c r="T67" s="8">
        <f t="shared" si="28"/>
        <v>0</v>
      </c>
      <c r="U67" s="8">
        <v>435000</v>
      </c>
      <c r="V67" s="7">
        <v>0</v>
      </c>
      <c r="W67" s="8">
        <f t="shared" si="29"/>
        <v>0</v>
      </c>
    </row>
    <row r="68" spans="2:23">
      <c r="B68" s="7" t="s">
        <v>239</v>
      </c>
      <c r="C68" s="8">
        <v>420000</v>
      </c>
      <c r="D68" s="7">
        <v>0</v>
      </c>
      <c r="E68" s="8">
        <f t="shared" si="24"/>
        <v>0</v>
      </c>
      <c r="F68" s="8">
        <v>420000</v>
      </c>
      <c r="G68" s="7">
        <v>0</v>
      </c>
      <c r="H68" s="13">
        <f t="shared" si="25"/>
        <v>0</v>
      </c>
      <c r="I68" s="8">
        <v>420000</v>
      </c>
      <c r="J68" s="7">
        <v>0</v>
      </c>
      <c r="K68" s="8">
        <f t="shared" si="26"/>
        <v>0</v>
      </c>
      <c r="N68" s="7" t="s">
        <v>239</v>
      </c>
      <c r="O68" s="8">
        <v>420000</v>
      </c>
      <c r="P68" s="7">
        <v>0</v>
      </c>
      <c r="Q68" s="8">
        <f t="shared" si="27"/>
        <v>0</v>
      </c>
      <c r="R68" s="8">
        <v>420000</v>
      </c>
      <c r="S68" s="7">
        <v>0</v>
      </c>
      <c r="T68" s="8">
        <f t="shared" si="28"/>
        <v>0</v>
      </c>
      <c r="U68" s="8">
        <v>420000</v>
      </c>
      <c r="V68" s="7">
        <v>0</v>
      </c>
      <c r="W68" s="8">
        <f t="shared" si="29"/>
        <v>0</v>
      </c>
    </row>
    <row r="69" spans="2:23">
      <c r="B69" s="7" t="s">
        <v>240</v>
      </c>
      <c r="C69" s="8">
        <v>450000</v>
      </c>
      <c r="D69" s="7">
        <v>0</v>
      </c>
      <c r="E69" s="8">
        <f t="shared" si="24"/>
        <v>0</v>
      </c>
      <c r="F69" s="8">
        <v>450000</v>
      </c>
      <c r="G69" s="7">
        <v>0</v>
      </c>
      <c r="H69" s="13">
        <f t="shared" si="25"/>
        <v>0</v>
      </c>
      <c r="I69" s="8">
        <v>450000</v>
      </c>
      <c r="J69" s="7">
        <v>0</v>
      </c>
      <c r="K69" s="8">
        <f t="shared" si="26"/>
        <v>0</v>
      </c>
      <c r="N69" s="7" t="s">
        <v>240</v>
      </c>
      <c r="O69" s="8">
        <v>450000</v>
      </c>
      <c r="P69" s="7">
        <v>0</v>
      </c>
      <c r="Q69" s="8">
        <f t="shared" si="27"/>
        <v>0</v>
      </c>
      <c r="R69" s="8">
        <v>450000</v>
      </c>
      <c r="S69" s="7">
        <v>0</v>
      </c>
      <c r="T69" s="8">
        <f t="shared" si="28"/>
        <v>0</v>
      </c>
      <c r="U69" s="8">
        <v>450000</v>
      </c>
      <c r="V69" s="7">
        <v>0</v>
      </c>
      <c r="W69" s="8">
        <f t="shared" si="29"/>
        <v>0</v>
      </c>
    </row>
    <row r="70" spans="2:23">
      <c r="B70" s="7" t="s">
        <v>241</v>
      </c>
      <c r="C70" s="8">
        <v>230000</v>
      </c>
      <c r="D70" s="7">
        <v>0</v>
      </c>
      <c r="E70" s="8">
        <f t="shared" si="24"/>
        <v>0</v>
      </c>
      <c r="F70" s="8">
        <v>230000</v>
      </c>
      <c r="G70" s="7">
        <v>0</v>
      </c>
      <c r="H70" s="13">
        <f t="shared" si="25"/>
        <v>0</v>
      </c>
      <c r="I70" s="8">
        <v>230000</v>
      </c>
      <c r="J70" s="7">
        <v>0</v>
      </c>
      <c r="K70" s="8">
        <f t="shared" si="26"/>
        <v>0</v>
      </c>
      <c r="N70" s="7" t="s">
        <v>241</v>
      </c>
      <c r="O70" s="8">
        <v>230000</v>
      </c>
      <c r="P70" s="7">
        <v>0</v>
      </c>
      <c r="Q70" s="8">
        <f t="shared" si="27"/>
        <v>0</v>
      </c>
      <c r="R70" s="8">
        <v>230000</v>
      </c>
      <c r="S70" s="7">
        <v>0</v>
      </c>
      <c r="T70" s="8">
        <f t="shared" si="28"/>
        <v>0</v>
      </c>
      <c r="U70" s="8">
        <v>230000</v>
      </c>
      <c r="V70" s="7">
        <v>0</v>
      </c>
      <c r="W70" s="8">
        <f t="shared" si="29"/>
        <v>0</v>
      </c>
    </row>
    <row r="71" spans="2:23">
      <c r="B71" s="9"/>
      <c r="C71" s="9"/>
      <c r="D71" s="6" t="s">
        <v>48</v>
      </c>
      <c r="E71" s="10">
        <f>SUM(E62:E70)</f>
        <v>44779033.333333313</v>
      </c>
      <c r="F71" s="9"/>
      <c r="G71" s="6" t="s">
        <v>48</v>
      </c>
      <c r="H71" s="10">
        <f>SUM(H62:H70)</f>
        <v>49604299.999999978</v>
      </c>
      <c r="I71" s="9"/>
      <c r="J71" s="6" t="s">
        <v>48</v>
      </c>
      <c r="K71" s="10">
        <f>SUM(K62:K70)</f>
        <v>47565933.333333299</v>
      </c>
      <c r="N71" s="9"/>
      <c r="O71" s="9"/>
      <c r="P71" s="6" t="s">
        <v>48</v>
      </c>
      <c r="Q71" s="10">
        <f>SUM(Q62:Q70)</f>
        <v>44664033.333333313</v>
      </c>
      <c r="R71" s="9"/>
      <c r="S71" s="6" t="s">
        <v>48</v>
      </c>
      <c r="T71" s="15">
        <f>SUM(T62:T70)</f>
        <v>49489299.999999978</v>
      </c>
      <c r="U71" s="9"/>
      <c r="V71" s="6" t="s">
        <v>48</v>
      </c>
      <c r="W71" s="10">
        <f>SUM(W62:W70)</f>
        <v>47335933.333333299</v>
      </c>
    </row>
    <row r="72" spans="2:23">
      <c r="K72" s="14">
        <f>(E71+H71+K71)/3</f>
        <v>47316422.222222187</v>
      </c>
      <c r="W72" s="14">
        <f>(Q71+T71+W71)/3</f>
        <v>47163088.888888858</v>
      </c>
    </row>
    <row r="73" spans="2:23">
      <c r="K73" s="14"/>
      <c r="W73" s="14"/>
    </row>
    <row r="74" spans="2:23">
      <c r="B74" s="354" t="s">
        <v>287</v>
      </c>
      <c r="C74" s="268" t="s">
        <v>10</v>
      </c>
      <c r="D74" s="347"/>
      <c r="E74" s="269"/>
      <c r="F74" s="268" t="s">
        <v>15</v>
      </c>
      <c r="G74" s="347"/>
      <c r="H74" s="269"/>
      <c r="I74" s="268" t="s">
        <v>17</v>
      </c>
      <c r="J74" s="347"/>
      <c r="K74" s="269"/>
      <c r="N74" s="354" t="s">
        <v>287</v>
      </c>
      <c r="O74" s="268" t="s">
        <v>10</v>
      </c>
      <c r="P74" s="347"/>
      <c r="Q74" s="269"/>
      <c r="R74" s="268" t="s">
        <v>15</v>
      </c>
      <c r="S74" s="347"/>
      <c r="T74" s="269"/>
      <c r="U74" s="268" t="s">
        <v>17</v>
      </c>
      <c r="V74" s="347"/>
      <c r="W74" s="269"/>
    </row>
    <row r="75" spans="2:23">
      <c r="B75" s="355"/>
      <c r="C75" s="5" t="s">
        <v>180</v>
      </c>
      <c r="D75" s="6" t="s">
        <v>41</v>
      </c>
      <c r="E75" s="6" t="s">
        <v>44</v>
      </c>
      <c r="F75" s="5" t="s">
        <v>180</v>
      </c>
      <c r="G75" s="6" t="s">
        <v>41</v>
      </c>
      <c r="H75" s="6" t="s">
        <v>44</v>
      </c>
      <c r="I75" s="5" t="s">
        <v>180</v>
      </c>
      <c r="J75" s="6" t="s">
        <v>41</v>
      </c>
      <c r="K75" s="6" t="s">
        <v>44</v>
      </c>
      <c r="N75" s="355"/>
      <c r="O75" s="5" t="s">
        <v>180</v>
      </c>
      <c r="P75" s="6" t="s">
        <v>41</v>
      </c>
      <c r="Q75" s="6" t="s">
        <v>44</v>
      </c>
      <c r="R75" s="5" t="s">
        <v>180</v>
      </c>
      <c r="S75" s="6" t="s">
        <v>41</v>
      </c>
      <c r="T75" s="6" t="s">
        <v>44</v>
      </c>
      <c r="U75" s="5" t="s">
        <v>180</v>
      </c>
      <c r="V75" s="6" t="s">
        <v>41</v>
      </c>
      <c r="W75" s="6" t="s">
        <v>44</v>
      </c>
    </row>
    <row r="76" spans="2:23">
      <c r="B76" s="7" t="s">
        <v>233</v>
      </c>
      <c r="C76" s="8">
        <v>33769076.306172803</v>
      </c>
      <c r="D76" s="7">
        <v>1</v>
      </c>
      <c r="E76" s="8">
        <f t="shared" ref="E76:E84" si="30">+C76*D76</f>
        <v>33769076.306172803</v>
      </c>
      <c r="F76" s="8">
        <v>35495742.959259301</v>
      </c>
      <c r="G76" s="7">
        <v>1</v>
      </c>
      <c r="H76" s="8">
        <f t="shared" ref="H76:H84" si="31">+F76*G76</f>
        <v>35495742.959259301</v>
      </c>
      <c r="I76" s="8">
        <v>35635742.918518499</v>
      </c>
      <c r="J76" s="7">
        <v>1</v>
      </c>
      <c r="K76" s="8">
        <f t="shared" ref="K76:K84" si="32">+I76*J76</f>
        <v>35635742.918518499</v>
      </c>
      <c r="N76" s="7" t="s">
        <v>233</v>
      </c>
      <c r="O76" s="8">
        <v>33769076.306172803</v>
      </c>
      <c r="P76" s="7">
        <v>1</v>
      </c>
      <c r="Q76" s="8">
        <f t="shared" ref="Q76:Q84" si="33">+O76*P76</f>
        <v>33769076.306172803</v>
      </c>
      <c r="R76" s="8">
        <v>35495742.959259301</v>
      </c>
      <c r="S76" s="7">
        <v>1</v>
      </c>
      <c r="T76" s="8">
        <f t="shared" ref="T76:T84" si="34">+R76*S76</f>
        <v>35495742.959259301</v>
      </c>
      <c r="U76" s="8">
        <v>35635742.918518499</v>
      </c>
      <c r="V76" s="7">
        <v>1</v>
      </c>
      <c r="W76" s="8">
        <f t="shared" ref="W76:W84" si="35">+U76*V76</f>
        <v>35635742.918518499</v>
      </c>
    </row>
    <row r="77" spans="2:23">
      <c r="B77" s="7" t="s">
        <v>234</v>
      </c>
      <c r="C77" s="8">
        <v>5101558</v>
      </c>
      <c r="D77" s="7">
        <v>1</v>
      </c>
      <c r="E77" s="8">
        <f t="shared" si="30"/>
        <v>5101558</v>
      </c>
      <c r="F77" s="8">
        <v>7018704</v>
      </c>
      <c r="G77" s="7">
        <v>1</v>
      </c>
      <c r="H77" s="8">
        <f t="shared" si="31"/>
        <v>7018704</v>
      </c>
      <c r="I77" s="8">
        <v>6596282</v>
      </c>
      <c r="J77" s="7">
        <v>1</v>
      </c>
      <c r="K77" s="8">
        <f t="shared" si="32"/>
        <v>6596282</v>
      </c>
      <c r="N77" s="7" t="s">
        <v>234</v>
      </c>
      <c r="O77" s="8">
        <v>5101558</v>
      </c>
      <c r="P77" s="7">
        <v>1</v>
      </c>
      <c r="Q77" s="8">
        <f t="shared" si="33"/>
        <v>5101558</v>
      </c>
      <c r="R77" s="8">
        <v>7018704</v>
      </c>
      <c r="S77" s="7">
        <v>1</v>
      </c>
      <c r="T77" s="8">
        <f t="shared" si="34"/>
        <v>7018704</v>
      </c>
      <c r="U77" s="8">
        <v>6596282</v>
      </c>
      <c r="V77" s="7">
        <v>1</v>
      </c>
      <c r="W77" s="8">
        <f t="shared" si="35"/>
        <v>6596282</v>
      </c>
    </row>
    <row r="78" spans="2:23">
      <c r="B78" s="7" t="s">
        <v>235</v>
      </c>
      <c r="C78" s="8">
        <v>8000</v>
      </c>
      <c r="D78" s="7">
        <v>0</v>
      </c>
      <c r="E78" s="8">
        <f t="shared" si="30"/>
        <v>0</v>
      </c>
      <c r="F78" s="8">
        <v>8000</v>
      </c>
      <c r="G78" s="7">
        <v>0</v>
      </c>
      <c r="H78" s="8">
        <f t="shared" si="31"/>
        <v>0</v>
      </c>
      <c r="I78" s="8">
        <v>8000</v>
      </c>
      <c r="J78" s="7">
        <v>0</v>
      </c>
      <c r="K78" s="8">
        <f t="shared" si="32"/>
        <v>0</v>
      </c>
      <c r="N78" s="7" t="s">
        <v>235</v>
      </c>
      <c r="O78" s="8">
        <v>8000</v>
      </c>
      <c r="P78" s="7">
        <v>0</v>
      </c>
      <c r="Q78" s="8">
        <f t="shared" si="33"/>
        <v>0</v>
      </c>
      <c r="R78" s="8">
        <v>8000</v>
      </c>
      <c r="S78" s="7">
        <v>0</v>
      </c>
      <c r="T78" s="8">
        <f t="shared" si="34"/>
        <v>0</v>
      </c>
      <c r="U78" s="8">
        <v>8000</v>
      </c>
      <c r="V78" s="7">
        <v>0</v>
      </c>
      <c r="W78" s="8">
        <f t="shared" si="35"/>
        <v>0</v>
      </c>
    </row>
    <row r="79" spans="2:23">
      <c r="B79" s="7" t="s">
        <v>236</v>
      </c>
      <c r="C79" s="8">
        <v>80000</v>
      </c>
      <c r="D79" s="7">
        <v>19</v>
      </c>
      <c r="E79" s="8">
        <f t="shared" si="30"/>
        <v>1520000</v>
      </c>
      <c r="F79" s="8">
        <v>80000</v>
      </c>
      <c r="G79" s="7">
        <v>41</v>
      </c>
      <c r="H79" s="8">
        <f t="shared" si="31"/>
        <v>3280000</v>
      </c>
      <c r="I79" s="8">
        <v>80000</v>
      </c>
      <c r="J79" s="7">
        <v>12</v>
      </c>
      <c r="K79" s="8">
        <f t="shared" si="32"/>
        <v>960000</v>
      </c>
      <c r="N79" s="7" t="s">
        <v>236</v>
      </c>
      <c r="O79" s="8">
        <v>80000</v>
      </c>
      <c r="P79" s="7">
        <v>19</v>
      </c>
      <c r="Q79" s="8">
        <f t="shared" si="33"/>
        <v>1520000</v>
      </c>
      <c r="R79" s="8">
        <v>80000</v>
      </c>
      <c r="S79" s="7">
        <v>41</v>
      </c>
      <c r="T79" s="8">
        <f t="shared" si="34"/>
        <v>3280000</v>
      </c>
      <c r="U79" s="8">
        <v>80000</v>
      </c>
      <c r="V79" s="7">
        <v>12</v>
      </c>
      <c r="W79" s="8">
        <f t="shared" si="35"/>
        <v>960000</v>
      </c>
    </row>
    <row r="80" spans="2:23">
      <c r="B80" s="7" t="s">
        <v>237</v>
      </c>
      <c r="C80" s="8">
        <v>1800000</v>
      </c>
      <c r="D80" s="7">
        <v>0.5</v>
      </c>
      <c r="E80" s="8">
        <f t="shared" si="30"/>
        <v>900000</v>
      </c>
      <c r="F80" s="8">
        <v>1800000</v>
      </c>
      <c r="G80" s="7">
        <v>0.5</v>
      </c>
      <c r="H80" s="8">
        <f t="shared" si="31"/>
        <v>900000</v>
      </c>
      <c r="I80" s="8">
        <v>1800000</v>
      </c>
      <c r="J80" s="7">
        <v>1</v>
      </c>
      <c r="K80" s="8">
        <f t="shared" si="32"/>
        <v>1800000</v>
      </c>
      <c r="N80" s="7" t="s">
        <v>237</v>
      </c>
      <c r="O80" s="8">
        <v>1800000</v>
      </c>
      <c r="P80" s="7">
        <v>0.5</v>
      </c>
      <c r="Q80" s="8">
        <f t="shared" si="33"/>
        <v>900000</v>
      </c>
      <c r="R80" s="8">
        <v>1800000</v>
      </c>
      <c r="S80" s="7">
        <v>0.5</v>
      </c>
      <c r="T80" s="8">
        <f t="shared" si="34"/>
        <v>900000</v>
      </c>
      <c r="U80" s="8">
        <v>1800000</v>
      </c>
      <c r="V80" s="7">
        <v>1</v>
      </c>
      <c r="W80" s="8">
        <f t="shared" si="35"/>
        <v>1800000</v>
      </c>
    </row>
    <row r="81" spans="2:23">
      <c r="B81" s="7" t="s">
        <v>238</v>
      </c>
      <c r="C81" s="8">
        <v>1350000</v>
      </c>
      <c r="D81" s="7">
        <v>1</v>
      </c>
      <c r="E81" s="8">
        <f t="shared" si="30"/>
        <v>1350000</v>
      </c>
      <c r="F81" s="8">
        <v>1350000</v>
      </c>
      <c r="G81" s="7">
        <v>1</v>
      </c>
      <c r="H81" s="8">
        <f t="shared" si="31"/>
        <v>1350000</v>
      </c>
      <c r="I81" s="8">
        <v>1350000</v>
      </c>
      <c r="J81" s="7">
        <v>1</v>
      </c>
      <c r="K81" s="8">
        <f t="shared" si="32"/>
        <v>1350000</v>
      </c>
      <c r="N81" s="7" t="s">
        <v>238</v>
      </c>
      <c r="O81" s="8">
        <v>1350000</v>
      </c>
      <c r="P81" s="7">
        <v>1</v>
      </c>
      <c r="Q81" s="8">
        <f t="shared" si="33"/>
        <v>1350000</v>
      </c>
      <c r="R81" s="8">
        <v>1350000</v>
      </c>
      <c r="S81" s="7">
        <v>1</v>
      </c>
      <c r="T81" s="8">
        <f t="shared" si="34"/>
        <v>1350000</v>
      </c>
      <c r="U81" s="8">
        <v>1350000</v>
      </c>
      <c r="V81" s="7">
        <v>1</v>
      </c>
      <c r="W81" s="8">
        <f t="shared" si="35"/>
        <v>1350000</v>
      </c>
    </row>
    <row r="82" spans="2:23">
      <c r="B82" s="7" t="s">
        <v>239</v>
      </c>
      <c r="C82" s="8">
        <v>300000</v>
      </c>
      <c r="D82" s="7">
        <v>1</v>
      </c>
      <c r="E82" s="8">
        <f t="shared" si="30"/>
        <v>300000</v>
      </c>
      <c r="F82" s="8">
        <v>300000</v>
      </c>
      <c r="G82" s="7">
        <v>1</v>
      </c>
      <c r="H82" s="8">
        <f t="shared" si="31"/>
        <v>300000</v>
      </c>
      <c r="I82" s="8">
        <v>300000</v>
      </c>
      <c r="J82" s="7">
        <v>1</v>
      </c>
      <c r="K82" s="8">
        <f t="shared" si="32"/>
        <v>300000</v>
      </c>
      <c r="N82" s="7" t="s">
        <v>239</v>
      </c>
      <c r="O82" s="8">
        <v>300000</v>
      </c>
      <c r="P82" s="7">
        <v>1</v>
      </c>
      <c r="Q82" s="8">
        <f t="shared" si="33"/>
        <v>300000</v>
      </c>
      <c r="R82" s="8">
        <v>300000</v>
      </c>
      <c r="S82" s="7">
        <v>1</v>
      </c>
      <c r="T82" s="8">
        <f t="shared" si="34"/>
        <v>300000</v>
      </c>
      <c r="U82" s="8">
        <v>300000</v>
      </c>
      <c r="V82" s="7">
        <v>1</v>
      </c>
      <c r="W82" s="8">
        <f t="shared" si="35"/>
        <v>300000</v>
      </c>
    </row>
    <row r="83" spans="2:23">
      <c r="B83" s="7" t="s">
        <v>240</v>
      </c>
      <c r="C83" s="8">
        <v>200000</v>
      </c>
      <c r="D83" s="7">
        <v>1</v>
      </c>
      <c r="E83" s="8">
        <f t="shared" si="30"/>
        <v>200000</v>
      </c>
      <c r="F83" s="8">
        <v>200000</v>
      </c>
      <c r="G83" s="7">
        <v>1</v>
      </c>
      <c r="H83" s="8">
        <f t="shared" si="31"/>
        <v>200000</v>
      </c>
      <c r="I83" s="8">
        <v>200000</v>
      </c>
      <c r="J83" s="7">
        <v>1</v>
      </c>
      <c r="K83" s="8">
        <f t="shared" si="32"/>
        <v>200000</v>
      </c>
      <c r="N83" s="7" t="s">
        <v>240</v>
      </c>
      <c r="O83" s="8">
        <v>200000</v>
      </c>
      <c r="P83" s="7">
        <v>1</v>
      </c>
      <c r="Q83" s="8">
        <f t="shared" si="33"/>
        <v>200000</v>
      </c>
      <c r="R83" s="8">
        <v>200000</v>
      </c>
      <c r="S83" s="7">
        <v>1</v>
      </c>
      <c r="T83" s="8">
        <f t="shared" si="34"/>
        <v>200000</v>
      </c>
      <c r="U83" s="8">
        <v>200000</v>
      </c>
      <c r="V83" s="7">
        <v>1</v>
      </c>
      <c r="W83" s="8">
        <f t="shared" si="35"/>
        <v>200000</v>
      </c>
    </row>
    <row r="84" spans="2:23">
      <c r="B84" s="7" t="s">
        <v>241</v>
      </c>
      <c r="C84" s="8">
        <v>162470</v>
      </c>
      <c r="D84" s="7">
        <v>0</v>
      </c>
      <c r="E84" s="8">
        <f t="shared" si="30"/>
        <v>0</v>
      </c>
      <c r="F84" s="8">
        <v>162470</v>
      </c>
      <c r="G84" s="7">
        <v>0</v>
      </c>
      <c r="H84" s="8">
        <f t="shared" si="31"/>
        <v>0</v>
      </c>
      <c r="I84" s="8">
        <v>162470</v>
      </c>
      <c r="J84" s="7">
        <v>0</v>
      </c>
      <c r="K84" s="8">
        <f t="shared" si="32"/>
        <v>0</v>
      </c>
      <c r="N84" s="7" t="s">
        <v>241</v>
      </c>
      <c r="O84" s="8">
        <v>162470</v>
      </c>
      <c r="P84" s="7">
        <v>0</v>
      </c>
      <c r="Q84" s="8">
        <f t="shared" si="33"/>
        <v>0</v>
      </c>
      <c r="R84" s="8">
        <v>162470</v>
      </c>
      <c r="S84" s="7">
        <v>0</v>
      </c>
      <c r="T84" s="8">
        <f t="shared" si="34"/>
        <v>0</v>
      </c>
      <c r="U84" s="8">
        <v>162470</v>
      </c>
      <c r="V84" s="7">
        <v>0</v>
      </c>
      <c r="W84" s="8">
        <f t="shared" si="35"/>
        <v>0</v>
      </c>
    </row>
    <row r="85" spans="2:23">
      <c r="B85" s="9"/>
      <c r="C85" s="9"/>
      <c r="D85" s="6" t="s">
        <v>48</v>
      </c>
      <c r="E85" s="10">
        <f>SUM(E76:E84)</f>
        <v>43140634.306172803</v>
      </c>
      <c r="F85" s="9"/>
      <c r="G85" s="6" t="s">
        <v>48</v>
      </c>
      <c r="H85" s="17">
        <f>SUM(H76:H84)</f>
        <v>48544446.959259301</v>
      </c>
      <c r="I85" s="9"/>
      <c r="J85" s="6" t="s">
        <v>48</v>
      </c>
      <c r="K85" s="10">
        <f>SUM(K76:K84)</f>
        <v>46842024.918518499</v>
      </c>
      <c r="N85" s="9"/>
      <c r="O85" s="9"/>
      <c r="P85" s="6" t="s">
        <v>48</v>
      </c>
      <c r="Q85" s="10">
        <f>SUM(Q76:Q84)</f>
        <v>43140634.306172803</v>
      </c>
      <c r="R85" s="9"/>
      <c r="S85" s="6" t="s">
        <v>48</v>
      </c>
      <c r="T85" s="15">
        <f>SUM(T76:T84)</f>
        <v>48544446.959259301</v>
      </c>
      <c r="U85" s="9"/>
      <c r="V85" s="6" t="s">
        <v>48</v>
      </c>
      <c r="W85" s="10">
        <f>SUM(W76:W84)</f>
        <v>46842024.918518499</v>
      </c>
    </row>
    <row r="86" spans="2:23">
      <c r="K86" s="14">
        <f>(E85+H85+K85)/3</f>
        <v>46175702.06131687</v>
      </c>
      <c r="W86" s="14">
        <f>(Q85+T85+W85)/3</f>
        <v>46175702.06131687</v>
      </c>
    </row>
    <row r="89" spans="2:23" hidden="1">
      <c r="B89" s="354" t="s">
        <v>7</v>
      </c>
      <c r="C89" s="268" t="s">
        <v>10</v>
      </c>
      <c r="D89" s="347"/>
      <c r="E89" s="269"/>
      <c r="F89" s="268" t="s">
        <v>15</v>
      </c>
      <c r="G89" s="347"/>
      <c r="H89" s="269"/>
      <c r="I89" s="268" t="s">
        <v>17</v>
      </c>
      <c r="J89" s="347"/>
      <c r="K89" s="269"/>
      <c r="N89" s="354" t="s">
        <v>7</v>
      </c>
      <c r="O89" s="268" t="s">
        <v>10</v>
      </c>
      <c r="P89" s="347"/>
      <c r="Q89" s="269"/>
      <c r="R89" s="268" t="s">
        <v>15</v>
      </c>
      <c r="S89" s="347"/>
      <c r="T89" s="269"/>
      <c r="U89" s="268" t="s">
        <v>17</v>
      </c>
      <c r="V89" s="347"/>
      <c r="W89" s="269"/>
    </row>
    <row r="90" spans="2:23" hidden="1">
      <c r="B90" s="355"/>
      <c r="C90" s="5" t="s">
        <v>180</v>
      </c>
      <c r="D90" s="6" t="s">
        <v>41</v>
      </c>
      <c r="E90" s="6" t="s">
        <v>44</v>
      </c>
      <c r="F90" s="5" t="s">
        <v>180</v>
      </c>
      <c r="G90" s="6" t="s">
        <v>41</v>
      </c>
      <c r="H90" s="6" t="s">
        <v>44</v>
      </c>
      <c r="I90" s="5" t="s">
        <v>180</v>
      </c>
      <c r="J90" s="6" t="s">
        <v>41</v>
      </c>
      <c r="K90" s="6" t="s">
        <v>44</v>
      </c>
      <c r="N90" s="355"/>
      <c r="O90" s="5" t="s">
        <v>180</v>
      </c>
      <c r="P90" s="6" t="s">
        <v>41</v>
      </c>
      <c r="Q90" s="6" t="s">
        <v>44</v>
      </c>
      <c r="R90" s="5" t="s">
        <v>180</v>
      </c>
      <c r="S90" s="6" t="s">
        <v>41</v>
      </c>
      <c r="T90" s="6" t="s">
        <v>44</v>
      </c>
      <c r="U90" s="5" t="s">
        <v>180</v>
      </c>
      <c r="V90" s="6" t="s">
        <v>41</v>
      </c>
      <c r="W90" s="6" t="s">
        <v>44</v>
      </c>
    </row>
    <row r="91" spans="2:23" hidden="1">
      <c r="B91" s="7" t="s">
        <v>233</v>
      </c>
      <c r="C91" s="8"/>
      <c r="D91" s="7">
        <v>1</v>
      </c>
      <c r="E91" s="8">
        <f t="shared" ref="E91:E99" si="36">+C91*D91</f>
        <v>0</v>
      </c>
      <c r="F91" s="13"/>
      <c r="G91" s="7">
        <v>1</v>
      </c>
      <c r="H91" s="8">
        <f t="shared" ref="H91:H99" si="37">+F91*G91</f>
        <v>0</v>
      </c>
      <c r="I91" s="8"/>
      <c r="J91" s="7">
        <v>1</v>
      </c>
      <c r="K91" s="8">
        <f t="shared" ref="K91:K99" si="38">+I91*J91</f>
        <v>0</v>
      </c>
      <c r="N91" s="7" t="s">
        <v>233</v>
      </c>
      <c r="O91" s="8"/>
      <c r="P91" s="7">
        <v>1</v>
      </c>
      <c r="Q91" s="8">
        <f t="shared" ref="Q91:Q99" si="39">+O91*P91</f>
        <v>0</v>
      </c>
      <c r="R91" s="8"/>
      <c r="S91" s="7">
        <v>1</v>
      </c>
      <c r="T91" s="8">
        <f t="shared" ref="T91:T99" si="40">+R91*S91</f>
        <v>0</v>
      </c>
      <c r="U91" s="8"/>
      <c r="V91" s="7">
        <v>1</v>
      </c>
      <c r="W91" s="8">
        <f t="shared" ref="W91:W99" si="41">+U91*V91</f>
        <v>0</v>
      </c>
    </row>
    <row r="92" spans="2:23" hidden="1">
      <c r="B92" s="7" t="s">
        <v>234</v>
      </c>
      <c r="C92" s="8"/>
      <c r="D92" s="7">
        <v>1</v>
      </c>
      <c r="E92" s="8">
        <f t="shared" si="36"/>
        <v>0</v>
      </c>
      <c r="F92" s="13"/>
      <c r="G92" s="7">
        <v>1</v>
      </c>
      <c r="H92" s="8">
        <f t="shared" si="37"/>
        <v>0</v>
      </c>
      <c r="I92" s="8"/>
      <c r="J92" s="7">
        <v>1</v>
      </c>
      <c r="K92" s="8">
        <f t="shared" si="38"/>
        <v>0</v>
      </c>
      <c r="N92" s="7" t="s">
        <v>234</v>
      </c>
      <c r="O92" s="8"/>
      <c r="P92" s="7">
        <v>1</v>
      </c>
      <c r="Q92" s="8">
        <f t="shared" si="39"/>
        <v>0</v>
      </c>
      <c r="R92" s="8"/>
      <c r="S92" s="7">
        <v>1</v>
      </c>
      <c r="T92" s="8">
        <f t="shared" si="40"/>
        <v>0</v>
      </c>
      <c r="U92" s="8"/>
      <c r="V92" s="7">
        <v>1</v>
      </c>
      <c r="W92" s="8">
        <f t="shared" si="41"/>
        <v>0</v>
      </c>
    </row>
    <row r="93" spans="2:23" hidden="1">
      <c r="B93" s="7" t="s">
        <v>235</v>
      </c>
      <c r="C93" s="8"/>
      <c r="D93" s="7">
        <v>0</v>
      </c>
      <c r="E93" s="8">
        <f t="shared" si="36"/>
        <v>0</v>
      </c>
      <c r="F93" s="13"/>
      <c r="G93" s="7">
        <v>0</v>
      </c>
      <c r="H93" s="8">
        <f t="shared" si="37"/>
        <v>0</v>
      </c>
      <c r="I93" s="8"/>
      <c r="J93" s="7">
        <v>0</v>
      </c>
      <c r="K93" s="8">
        <f t="shared" si="38"/>
        <v>0</v>
      </c>
      <c r="N93" s="7" t="s">
        <v>235</v>
      </c>
      <c r="O93" s="8"/>
      <c r="P93" s="7">
        <v>0</v>
      </c>
      <c r="Q93" s="8">
        <f t="shared" si="39"/>
        <v>0</v>
      </c>
      <c r="R93" s="8"/>
      <c r="S93" s="7">
        <v>0</v>
      </c>
      <c r="T93" s="8">
        <f t="shared" si="40"/>
        <v>0</v>
      </c>
      <c r="U93" s="8"/>
      <c r="V93" s="7">
        <v>0</v>
      </c>
      <c r="W93" s="8">
        <f t="shared" si="41"/>
        <v>0</v>
      </c>
    </row>
    <row r="94" spans="2:23" hidden="1">
      <c r="B94" s="7" t="s">
        <v>236</v>
      </c>
      <c r="C94" s="8"/>
      <c r="D94" s="7">
        <v>19</v>
      </c>
      <c r="E94" s="8">
        <f t="shared" si="36"/>
        <v>0</v>
      </c>
      <c r="F94" s="13"/>
      <c r="G94" s="7">
        <v>41</v>
      </c>
      <c r="H94" s="8">
        <f t="shared" si="37"/>
        <v>0</v>
      </c>
      <c r="I94" s="8"/>
      <c r="J94" s="7">
        <v>12</v>
      </c>
      <c r="K94" s="8">
        <f t="shared" si="38"/>
        <v>0</v>
      </c>
      <c r="N94" s="7" t="s">
        <v>236</v>
      </c>
      <c r="O94" s="8"/>
      <c r="P94" s="7">
        <v>19</v>
      </c>
      <c r="Q94" s="8">
        <f t="shared" si="39"/>
        <v>0</v>
      </c>
      <c r="R94" s="8"/>
      <c r="S94" s="7">
        <v>41</v>
      </c>
      <c r="T94" s="8">
        <f t="shared" si="40"/>
        <v>0</v>
      </c>
      <c r="U94" s="8"/>
      <c r="V94" s="7">
        <v>12</v>
      </c>
      <c r="W94" s="8">
        <f t="shared" si="41"/>
        <v>0</v>
      </c>
    </row>
    <row r="95" spans="2:23" hidden="1">
      <c r="B95" s="7" t="s">
        <v>237</v>
      </c>
      <c r="C95" s="8"/>
      <c r="D95" s="7">
        <v>1</v>
      </c>
      <c r="E95" s="8">
        <f t="shared" si="36"/>
        <v>0</v>
      </c>
      <c r="F95" s="13"/>
      <c r="G95" s="7">
        <v>1</v>
      </c>
      <c r="H95" s="8">
        <f t="shared" si="37"/>
        <v>0</v>
      </c>
      <c r="I95" s="8"/>
      <c r="J95" s="7">
        <v>1</v>
      </c>
      <c r="K95" s="8">
        <f t="shared" si="38"/>
        <v>0</v>
      </c>
      <c r="N95" s="7" t="s">
        <v>237</v>
      </c>
      <c r="O95" s="8"/>
      <c r="P95" s="7">
        <v>1</v>
      </c>
      <c r="Q95" s="8">
        <f t="shared" si="39"/>
        <v>0</v>
      </c>
      <c r="R95" s="8"/>
      <c r="S95" s="7">
        <v>1</v>
      </c>
      <c r="T95" s="8">
        <f t="shared" si="40"/>
        <v>0</v>
      </c>
      <c r="U95" s="8"/>
      <c r="V95" s="7">
        <v>1</v>
      </c>
      <c r="W95" s="8">
        <f t="shared" si="41"/>
        <v>0</v>
      </c>
    </row>
    <row r="96" spans="2:23" hidden="1">
      <c r="B96" s="7" t="s">
        <v>238</v>
      </c>
      <c r="C96" s="8"/>
      <c r="D96" s="7">
        <v>1</v>
      </c>
      <c r="E96" s="8">
        <f t="shared" si="36"/>
        <v>0</v>
      </c>
      <c r="F96" s="13"/>
      <c r="G96" s="7">
        <v>1</v>
      </c>
      <c r="H96" s="8">
        <f t="shared" si="37"/>
        <v>0</v>
      </c>
      <c r="I96" s="8"/>
      <c r="J96" s="7">
        <v>1</v>
      </c>
      <c r="K96" s="8">
        <f t="shared" si="38"/>
        <v>0</v>
      </c>
      <c r="N96" s="7" t="s">
        <v>238</v>
      </c>
      <c r="O96" s="8"/>
      <c r="P96" s="7">
        <v>1</v>
      </c>
      <c r="Q96" s="8">
        <f t="shared" si="39"/>
        <v>0</v>
      </c>
      <c r="R96" s="8"/>
      <c r="S96" s="7">
        <v>1</v>
      </c>
      <c r="T96" s="8">
        <f t="shared" si="40"/>
        <v>0</v>
      </c>
      <c r="U96" s="8"/>
      <c r="V96" s="7">
        <v>1</v>
      </c>
      <c r="W96" s="8">
        <f t="shared" si="41"/>
        <v>0</v>
      </c>
    </row>
    <row r="97" spans="2:23" hidden="1">
      <c r="B97" s="7" t="s">
        <v>239</v>
      </c>
      <c r="C97" s="8"/>
      <c r="D97" s="7">
        <v>1</v>
      </c>
      <c r="E97" s="8">
        <f t="shared" si="36"/>
        <v>0</v>
      </c>
      <c r="F97" s="13"/>
      <c r="G97" s="7">
        <v>1</v>
      </c>
      <c r="H97" s="8">
        <f t="shared" si="37"/>
        <v>0</v>
      </c>
      <c r="I97" s="8"/>
      <c r="J97" s="7">
        <v>1</v>
      </c>
      <c r="K97" s="8">
        <f t="shared" si="38"/>
        <v>0</v>
      </c>
      <c r="N97" s="7" t="s">
        <v>239</v>
      </c>
      <c r="O97" s="8"/>
      <c r="P97" s="7">
        <v>1</v>
      </c>
      <c r="Q97" s="8">
        <f t="shared" si="39"/>
        <v>0</v>
      </c>
      <c r="R97" s="8"/>
      <c r="S97" s="7">
        <v>1</v>
      </c>
      <c r="T97" s="8">
        <f t="shared" si="40"/>
        <v>0</v>
      </c>
      <c r="U97" s="8"/>
      <c r="V97" s="7">
        <v>1</v>
      </c>
      <c r="W97" s="8">
        <f t="shared" si="41"/>
        <v>0</v>
      </c>
    </row>
    <row r="98" spans="2:23" hidden="1">
      <c r="B98" s="7" t="s">
        <v>240</v>
      </c>
      <c r="C98" s="8"/>
      <c r="D98" s="7">
        <v>1</v>
      </c>
      <c r="E98" s="8">
        <f t="shared" si="36"/>
        <v>0</v>
      </c>
      <c r="F98" s="13"/>
      <c r="G98" s="7">
        <v>1</v>
      </c>
      <c r="H98" s="8">
        <f t="shared" si="37"/>
        <v>0</v>
      </c>
      <c r="I98" s="8"/>
      <c r="J98" s="7">
        <v>1</v>
      </c>
      <c r="K98" s="8">
        <f t="shared" si="38"/>
        <v>0</v>
      </c>
      <c r="N98" s="7" t="s">
        <v>240</v>
      </c>
      <c r="O98" s="8"/>
      <c r="P98" s="7">
        <v>1</v>
      </c>
      <c r="Q98" s="8">
        <f t="shared" si="39"/>
        <v>0</v>
      </c>
      <c r="R98" s="8"/>
      <c r="S98" s="7">
        <v>1</v>
      </c>
      <c r="T98" s="8">
        <f t="shared" si="40"/>
        <v>0</v>
      </c>
      <c r="U98" s="8"/>
      <c r="V98" s="7">
        <v>1</v>
      </c>
      <c r="W98" s="8">
        <f t="shared" si="41"/>
        <v>0</v>
      </c>
    </row>
    <row r="99" spans="2:23" hidden="1">
      <c r="B99" s="7" t="s">
        <v>241</v>
      </c>
      <c r="C99" s="8"/>
      <c r="D99" s="7">
        <v>0</v>
      </c>
      <c r="E99" s="8">
        <f t="shared" si="36"/>
        <v>0</v>
      </c>
      <c r="F99" s="13"/>
      <c r="G99" s="7">
        <v>0</v>
      </c>
      <c r="H99" s="8">
        <f t="shared" si="37"/>
        <v>0</v>
      </c>
      <c r="I99" s="8"/>
      <c r="J99" s="7">
        <v>0</v>
      </c>
      <c r="K99" s="8">
        <f t="shared" si="38"/>
        <v>0</v>
      </c>
      <c r="N99" s="7" t="s">
        <v>241</v>
      </c>
      <c r="O99" s="8"/>
      <c r="P99" s="7">
        <v>0</v>
      </c>
      <c r="Q99" s="8">
        <f t="shared" si="39"/>
        <v>0</v>
      </c>
      <c r="R99" s="8"/>
      <c r="S99" s="7">
        <v>0</v>
      </c>
      <c r="T99" s="8">
        <f t="shared" si="40"/>
        <v>0</v>
      </c>
      <c r="U99" s="8"/>
      <c r="V99" s="7">
        <v>0</v>
      </c>
      <c r="W99" s="8">
        <f t="shared" si="41"/>
        <v>0</v>
      </c>
    </row>
    <row r="100" spans="2:23" hidden="1">
      <c r="B100" s="9"/>
      <c r="C100" s="9"/>
      <c r="D100" s="6" t="s">
        <v>48</v>
      </c>
      <c r="E100" s="10">
        <f>SUM(E91:E99)</f>
        <v>0</v>
      </c>
      <c r="F100" s="9"/>
      <c r="G100" s="6" t="s">
        <v>48</v>
      </c>
      <c r="H100" s="10">
        <f>SUM(H91:H99)</f>
        <v>0</v>
      </c>
      <c r="I100" s="10"/>
      <c r="J100" s="6" t="s">
        <v>48</v>
      </c>
      <c r="K100" s="10">
        <f>SUM(K91:K99)</f>
        <v>0</v>
      </c>
      <c r="N100" s="9"/>
      <c r="O100" s="9"/>
      <c r="P100" s="6" t="s">
        <v>48</v>
      </c>
      <c r="Q100" s="10">
        <f>SUM(Q91:Q99)</f>
        <v>0</v>
      </c>
      <c r="R100" s="9"/>
      <c r="S100" s="6" t="s">
        <v>48</v>
      </c>
      <c r="T100" s="15">
        <f>SUM(T91:T99)</f>
        <v>0</v>
      </c>
      <c r="U100" s="9"/>
      <c r="V100" s="6" t="s">
        <v>48</v>
      </c>
      <c r="W100" s="10">
        <f>SUM(W91:W99)</f>
        <v>0</v>
      </c>
    </row>
    <row r="101" spans="2:23">
      <c r="K101" s="14">
        <f>+E100+H100+K100</f>
        <v>0</v>
      </c>
      <c r="W101" s="14">
        <f>+Q100+T100+W100</f>
        <v>0</v>
      </c>
    </row>
    <row r="104" spans="2:23">
      <c r="B104" s="6" t="s">
        <v>205</v>
      </c>
      <c r="C104" s="6" t="s">
        <v>96</v>
      </c>
      <c r="D104" s="268" t="s">
        <v>227</v>
      </c>
      <c r="E104" s="269"/>
      <c r="F104" s="268" t="s">
        <v>230</v>
      </c>
      <c r="G104" s="269"/>
    </row>
    <row r="105" spans="2:23">
      <c r="B105" s="7"/>
      <c r="C105" s="18">
        <f>K15</f>
        <v>47151015.033333331</v>
      </c>
      <c r="D105" s="360"/>
      <c r="E105" s="361"/>
      <c r="F105" s="362"/>
      <c r="G105" s="363"/>
    </row>
    <row r="106" spans="2:23">
      <c r="B106" s="7" t="s">
        <v>283</v>
      </c>
      <c r="C106" s="19"/>
      <c r="D106" s="360">
        <f>+K29</f>
        <v>52464825.793650806</v>
      </c>
      <c r="E106" s="361"/>
      <c r="F106" s="362">
        <f>+W29</f>
        <v>52311492.46031747</v>
      </c>
      <c r="G106" s="363"/>
    </row>
    <row r="107" spans="2:23">
      <c r="B107" s="7" t="s">
        <v>284</v>
      </c>
      <c r="C107" s="19"/>
      <c r="D107" s="348">
        <f>+K44</f>
        <v>50285700.793650806</v>
      </c>
      <c r="E107" s="364"/>
      <c r="F107" s="362">
        <f>+W44</f>
        <v>50132367.46031747</v>
      </c>
      <c r="G107" s="363"/>
    </row>
    <row r="108" spans="2:23">
      <c r="B108" s="7" t="s">
        <v>285</v>
      </c>
      <c r="C108" s="7"/>
      <c r="D108" s="360">
        <f>+K58</f>
        <v>50362168.660968661</v>
      </c>
      <c r="E108" s="361"/>
      <c r="F108" s="365">
        <f>+W58</f>
        <v>50208835.327635325</v>
      </c>
      <c r="G108" s="366"/>
    </row>
    <row r="109" spans="2:23">
      <c r="B109" s="7" t="s">
        <v>286</v>
      </c>
      <c r="C109" s="7"/>
      <c r="D109" s="360">
        <f>+K72</f>
        <v>47316422.222222187</v>
      </c>
      <c r="E109" s="361"/>
      <c r="F109" s="365">
        <f>+W72</f>
        <v>47163088.888888858</v>
      </c>
      <c r="G109" s="366"/>
    </row>
    <row r="110" spans="2:23">
      <c r="B110" s="7" t="s">
        <v>287</v>
      </c>
      <c r="C110" s="7"/>
      <c r="D110" s="348">
        <f>+K86</f>
        <v>46175702.06131687</v>
      </c>
      <c r="E110" s="349"/>
      <c r="F110" s="365">
        <f>+W86</f>
        <v>46175702.06131687</v>
      </c>
      <c r="G110" s="366"/>
    </row>
    <row r="111" spans="2:23">
      <c r="D111" s="356">
        <f>+D107-C105</f>
        <v>3134685.7603174746</v>
      </c>
      <c r="E111" s="357"/>
    </row>
    <row r="115" spans="5:5">
      <c r="E115" s="21"/>
    </row>
  </sheetData>
  <mergeCells count="71">
    <mergeCell ref="B74:B75"/>
    <mergeCell ref="B89:B90"/>
    <mergeCell ref="N3:N4"/>
    <mergeCell ref="N17:N18"/>
    <mergeCell ref="N32:N33"/>
    <mergeCell ref="N46:N47"/>
    <mergeCell ref="N60:N61"/>
    <mergeCell ref="N74:N75"/>
    <mergeCell ref="N89:N90"/>
    <mergeCell ref="B3:B4"/>
    <mergeCell ref="B17:B18"/>
    <mergeCell ref="B32:B33"/>
    <mergeCell ref="B46:B47"/>
    <mergeCell ref="B60:B61"/>
    <mergeCell ref="D109:E109"/>
    <mergeCell ref="F109:G109"/>
    <mergeCell ref="D110:E110"/>
    <mergeCell ref="F110:G110"/>
    <mergeCell ref="D111:E111"/>
    <mergeCell ref="D106:E106"/>
    <mergeCell ref="F106:G106"/>
    <mergeCell ref="D107:E107"/>
    <mergeCell ref="F107:G107"/>
    <mergeCell ref="D108:E108"/>
    <mergeCell ref="F108:G108"/>
    <mergeCell ref="U89:W89"/>
    <mergeCell ref="D104:E104"/>
    <mergeCell ref="F104:G104"/>
    <mergeCell ref="D105:E105"/>
    <mergeCell ref="F105:G105"/>
    <mergeCell ref="C89:E89"/>
    <mergeCell ref="F89:H89"/>
    <mergeCell ref="I89:K89"/>
    <mergeCell ref="O89:Q89"/>
    <mergeCell ref="R89:T89"/>
    <mergeCell ref="U60:W60"/>
    <mergeCell ref="C74:E74"/>
    <mergeCell ref="F74:H74"/>
    <mergeCell ref="I74:K74"/>
    <mergeCell ref="O74:Q74"/>
    <mergeCell ref="R74:T74"/>
    <mergeCell ref="U74:W74"/>
    <mergeCell ref="C60:E60"/>
    <mergeCell ref="F60:H60"/>
    <mergeCell ref="I60:K60"/>
    <mergeCell ref="O60:Q60"/>
    <mergeCell ref="R60:T60"/>
    <mergeCell ref="U32:W32"/>
    <mergeCell ref="C46:E46"/>
    <mergeCell ref="F46:H46"/>
    <mergeCell ref="I46:K46"/>
    <mergeCell ref="O46:Q46"/>
    <mergeCell ref="R46:T46"/>
    <mergeCell ref="U46:W46"/>
    <mergeCell ref="C32:E32"/>
    <mergeCell ref="F32:H32"/>
    <mergeCell ref="I32:K32"/>
    <mergeCell ref="O32:Q32"/>
    <mergeCell ref="R32:T32"/>
    <mergeCell ref="U3:W3"/>
    <mergeCell ref="C17:E17"/>
    <mergeCell ref="F17:H17"/>
    <mergeCell ref="I17:K17"/>
    <mergeCell ref="O17:Q17"/>
    <mergeCell ref="R17:T17"/>
    <mergeCell ref="U17:W17"/>
    <mergeCell ref="C3:E3"/>
    <mergeCell ref="F3:H3"/>
    <mergeCell ref="I3:K3"/>
    <mergeCell ref="O3:Q3"/>
    <mergeCell ref="R3:T3"/>
  </mergeCell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4:S227"/>
  <sheetViews>
    <sheetView showGridLines="0" topLeftCell="A127" workbookViewId="0">
      <selection activeCell="H150" sqref="H150"/>
    </sheetView>
  </sheetViews>
  <sheetFormatPr defaultColWidth="9" defaultRowHeight="15"/>
  <cols>
    <col min="2" max="2" width="16" customWidth="1"/>
    <col min="3" max="3" width="19.85546875" customWidth="1"/>
    <col min="4" max="4" width="24.28515625" customWidth="1"/>
    <col min="5" max="5" width="22.140625" customWidth="1"/>
    <col min="6" max="10" width="23.42578125" customWidth="1"/>
    <col min="11" max="11" width="20.28515625" customWidth="1"/>
    <col min="12" max="12" width="14.140625" customWidth="1"/>
    <col min="13" max="19" width="16.28515625" customWidth="1"/>
  </cols>
  <sheetData>
    <row r="4" spans="2:19" ht="46.5">
      <c r="B4" s="206" t="s">
        <v>0</v>
      </c>
    </row>
    <row r="5" spans="2:19" hidden="1"/>
    <row r="6" spans="2:19" hidden="1">
      <c r="C6" s="22" t="s">
        <v>1</v>
      </c>
    </row>
    <row r="7" spans="2:19" ht="30" hidden="1">
      <c r="C7" s="207" t="s">
        <v>2</v>
      </c>
      <c r="D7" s="208" t="s">
        <v>3</v>
      </c>
      <c r="E7" s="209" t="s">
        <v>4</v>
      </c>
      <c r="F7" s="208" t="s">
        <v>5</v>
      </c>
      <c r="G7" s="208" t="s">
        <v>6</v>
      </c>
      <c r="H7" s="208" t="s">
        <v>7</v>
      </c>
      <c r="I7" s="208" t="s">
        <v>8</v>
      </c>
      <c r="J7" s="208" t="s">
        <v>9</v>
      </c>
    </row>
    <row r="8" spans="2:19" ht="75" hidden="1">
      <c r="C8" s="176" t="s">
        <v>10</v>
      </c>
      <c r="D8" s="204">
        <f>+Lexus!E16</f>
        <v>85121795</v>
      </c>
      <c r="E8" s="210">
        <f>+Lexus!N17</f>
        <v>148071400</v>
      </c>
      <c r="F8" s="211"/>
      <c r="G8" s="204">
        <f>+Lexus!N46</f>
        <v>89576433</v>
      </c>
      <c r="H8" s="204">
        <f>+Lexus!N61</f>
        <v>132247427</v>
      </c>
      <c r="I8" s="250" t="s">
        <v>11</v>
      </c>
      <c r="J8" s="210">
        <f>+E8-D8</f>
        <v>62949605</v>
      </c>
    </row>
    <row r="9" spans="2:19" hidden="1"/>
    <row r="10" spans="2:19" ht="30" hidden="1">
      <c r="C10" s="207" t="s">
        <v>12</v>
      </c>
      <c r="D10" s="208" t="s">
        <v>3</v>
      </c>
      <c r="E10" s="208" t="s">
        <v>4</v>
      </c>
      <c r="F10" s="208" t="s">
        <v>5</v>
      </c>
      <c r="G10" s="209" t="s">
        <v>6</v>
      </c>
      <c r="H10" s="208" t="s">
        <v>7</v>
      </c>
      <c r="I10" s="208" t="s">
        <v>8</v>
      </c>
      <c r="J10" s="208" t="s">
        <v>9</v>
      </c>
      <c r="L10" s="207" t="s">
        <v>13</v>
      </c>
      <c r="M10" s="208" t="s">
        <v>3</v>
      </c>
      <c r="N10" s="208" t="s">
        <v>4</v>
      </c>
      <c r="O10" s="208" t="s">
        <v>5</v>
      </c>
      <c r="P10" s="208" t="s">
        <v>6</v>
      </c>
      <c r="Q10" s="208" t="s">
        <v>7</v>
      </c>
      <c r="R10" s="208" t="s">
        <v>8</v>
      </c>
      <c r="S10" s="208" t="s">
        <v>9</v>
      </c>
    </row>
    <row r="11" spans="2:19" ht="45" hidden="1">
      <c r="C11" s="176" t="s">
        <v>10</v>
      </c>
      <c r="D11" s="204">
        <f>+'Camry 2.5G'!E16</f>
        <v>42471157</v>
      </c>
      <c r="E11" s="204">
        <f>+'Camry 2.5G'!E31</f>
        <v>40682600</v>
      </c>
      <c r="F11" s="204">
        <f>+'Camry 2.5G'!E46</f>
        <v>35824500</v>
      </c>
      <c r="G11" s="204">
        <f>+'Camry 2.5G'!E60</f>
        <v>33197822</v>
      </c>
      <c r="H11" s="211"/>
      <c r="I11" s="216" t="s">
        <v>14</v>
      </c>
      <c r="J11" s="204"/>
      <c r="L11" s="176" t="s">
        <v>10</v>
      </c>
      <c r="M11" s="211"/>
      <c r="N11" s="204">
        <f>+'Camry 2.0G'!E29</f>
        <v>44264590</v>
      </c>
      <c r="O11" s="211"/>
      <c r="P11" s="211"/>
      <c r="Q11" s="204">
        <f>+'Camry 2.0G'!E45</f>
        <v>42968280</v>
      </c>
      <c r="R11" s="204"/>
      <c r="S11" s="204"/>
    </row>
    <row r="12" spans="2:19" ht="45" hidden="1">
      <c r="C12" s="176" t="s">
        <v>15</v>
      </c>
      <c r="D12" s="204">
        <f>+'Camry 2.5G'!H16</f>
        <v>45837757</v>
      </c>
      <c r="E12" s="204">
        <f>+'Camry 2.5G'!H31</f>
        <v>45223800</v>
      </c>
      <c r="F12" s="204">
        <f>+'Camry 2.5G'!H46</f>
        <v>41529000</v>
      </c>
      <c r="G12" s="204">
        <f>+'Camry 2.5G'!H60</f>
        <v>38273422</v>
      </c>
      <c r="H12" s="211"/>
      <c r="I12" s="216" t="s">
        <v>16</v>
      </c>
      <c r="J12" s="204"/>
      <c r="L12" s="176" t="s">
        <v>15</v>
      </c>
      <c r="M12" s="211"/>
      <c r="N12" s="204">
        <f>+'Camry 2.0G'!H29</f>
        <v>48585800</v>
      </c>
      <c r="O12" s="211"/>
      <c r="P12" s="211"/>
      <c r="Q12" s="204">
        <f>+'Camry 2.0G'!H45</f>
        <v>48078804</v>
      </c>
      <c r="R12" s="204"/>
      <c r="S12" s="204"/>
    </row>
    <row r="13" spans="2:19" ht="30" hidden="1">
      <c r="C13" s="176" t="s">
        <v>17</v>
      </c>
      <c r="D13" s="204">
        <f>+'Camry 2.5G'!K16</f>
        <v>44133157</v>
      </c>
      <c r="E13" s="204">
        <f>+'Camry 2.5G'!K31</f>
        <v>42965200</v>
      </c>
      <c r="F13" s="204">
        <f>+'Camry 2.5G'!K46</f>
        <v>39112875</v>
      </c>
      <c r="G13" s="204">
        <f>+'Camry 2.5G'!K60</f>
        <v>35764522</v>
      </c>
      <c r="H13" s="211"/>
      <c r="I13" s="216" t="s">
        <v>18</v>
      </c>
      <c r="J13" s="204"/>
      <c r="L13" s="176" t="s">
        <v>17</v>
      </c>
      <c r="M13" s="211"/>
      <c r="N13" s="204">
        <f>+'Camry 2.0G'!K29</f>
        <v>45782200</v>
      </c>
      <c r="O13" s="211"/>
      <c r="P13" s="211"/>
      <c r="Q13" s="204">
        <f>+'Camry 2.0G'!K45</f>
        <v>46398804</v>
      </c>
      <c r="R13" s="204"/>
      <c r="S13" s="204"/>
    </row>
    <row r="14" spans="2:19" hidden="1">
      <c r="C14" s="176" t="s">
        <v>19</v>
      </c>
      <c r="D14" s="210">
        <f>SUM(D11:D13)</f>
        <v>132442071</v>
      </c>
      <c r="E14" s="204">
        <f t="shared" ref="E14:H14" si="0">SUM(E11:E13)</f>
        <v>128871600</v>
      </c>
      <c r="F14" s="204">
        <f t="shared" si="0"/>
        <v>116466375</v>
      </c>
      <c r="G14" s="210">
        <f t="shared" si="0"/>
        <v>107235766</v>
      </c>
      <c r="H14" s="211">
        <f t="shared" si="0"/>
        <v>0</v>
      </c>
      <c r="I14" s="204">
        <f>+E14-D14</f>
        <v>-3570471</v>
      </c>
      <c r="J14" s="204">
        <f>+G14-D14</f>
        <v>-25206305</v>
      </c>
      <c r="L14" s="176" t="s">
        <v>19</v>
      </c>
      <c r="M14" s="211">
        <f t="shared" ref="M14" si="1">SUM(M11:M13)</f>
        <v>0</v>
      </c>
      <c r="N14" s="204">
        <f t="shared" ref="N14:S14" si="2">SUM(N11:N13)</f>
        <v>138632590</v>
      </c>
      <c r="O14" s="211">
        <f t="shared" si="2"/>
        <v>0</v>
      </c>
      <c r="P14" s="211">
        <f t="shared" si="2"/>
        <v>0</v>
      </c>
      <c r="Q14" s="204">
        <f t="shared" si="2"/>
        <v>137445888</v>
      </c>
      <c r="R14" s="204">
        <f t="shared" si="2"/>
        <v>0</v>
      </c>
      <c r="S14" s="204">
        <f t="shared" si="2"/>
        <v>0</v>
      </c>
    </row>
    <row r="15" spans="2:19" hidden="1">
      <c r="C15" s="176" t="s">
        <v>20</v>
      </c>
      <c r="D15" s="210">
        <f>AVERAGE(D11:D13)</f>
        <v>44147357</v>
      </c>
      <c r="E15" s="204">
        <f>AVERAGE(E11:E13)</f>
        <v>42957200</v>
      </c>
      <c r="F15" s="204">
        <f t="shared" ref="F15:G15" si="3">AVERAGE(F11:F13)</f>
        <v>38822125</v>
      </c>
      <c r="G15" s="210">
        <f t="shared" si="3"/>
        <v>35745255.333333336</v>
      </c>
      <c r="H15" s="204"/>
      <c r="I15" s="204"/>
      <c r="J15" s="210">
        <f>+G15-D15</f>
        <v>-8402101.6666666642</v>
      </c>
      <c r="L15" s="176" t="s">
        <v>20</v>
      </c>
      <c r="M15" s="204"/>
      <c r="N15" s="210">
        <f>AVERAGE(N11:N13)</f>
        <v>46210863.333333336</v>
      </c>
      <c r="O15" s="204"/>
      <c r="P15" s="204"/>
      <c r="Q15" s="204">
        <f>AVERAGE(Q11:Q13)</f>
        <v>45815296</v>
      </c>
      <c r="R15" s="204"/>
      <c r="S15" s="204"/>
    </row>
    <row r="16" spans="2:19" hidden="1"/>
    <row r="17" spans="3:19" ht="30" hidden="1">
      <c r="C17" s="207" t="s">
        <v>21</v>
      </c>
      <c r="D17" s="208" t="s">
        <v>3</v>
      </c>
      <c r="E17" s="208" t="s">
        <v>4</v>
      </c>
      <c r="F17" s="208" t="s">
        <v>5</v>
      </c>
      <c r="G17" s="208" t="s">
        <v>6</v>
      </c>
      <c r="H17" s="208" t="s">
        <v>7</v>
      </c>
      <c r="I17" s="208" t="s">
        <v>8</v>
      </c>
      <c r="J17" s="208" t="s">
        <v>9</v>
      </c>
      <c r="L17" s="207" t="s">
        <v>22</v>
      </c>
      <c r="M17" s="208" t="s">
        <v>3</v>
      </c>
      <c r="N17" s="208" t="s">
        <v>4</v>
      </c>
      <c r="O17" s="208" t="s">
        <v>5</v>
      </c>
      <c r="P17" s="208" t="s">
        <v>6</v>
      </c>
      <c r="Q17" s="208" t="s">
        <v>7</v>
      </c>
      <c r="R17" s="208" t="s">
        <v>8</v>
      </c>
      <c r="S17" s="208" t="s">
        <v>9</v>
      </c>
    </row>
    <row r="18" spans="3:19" ht="60" hidden="1">
      <c r="C18" s="176" t="s">
        <v>10</v>
      </c>
      <c r="D18" s="204">
        <f>+'11 seats'!E14</f>
        <v>43773446.350000001</v>
      </c>
      <c r="E18" s="204">
        <f>+'11 seats'!E28</f>
        <v>47936750</v>
      </c>
      <c r="F18" s="211"/>
      <c r="G18" s="211"/>
      <c r="H18" s="211"/>
      <c r="I18" s="250" t="s">
        <v>23</v>
      </c>
      <c r="J18" s="204"/>
      <c r="L18" s="176" t="s">
        <v>10</v>
      </c>
      <c r="M18" s="204">
        <f>+Fortuner!E16</f>
        <v>341866500</v>
      </c>
      <c r="N18" s="204">
        <f>+Fortuner!E32</f>
        <v>44789186</v>
      </c>
      <c r="O18" s="204">
        <f>+Fortuner!E62</f>
        <v>443636640</v>
      </c>
      <c r="P18" s="204">
        <f>+Fortuner!E78</f>
        <v>355758470</v>
      </c>
      <c r="Q18" s="204">
        <f>+Fortuner!E99</f>
        <v>417780808</v>
      </c>
      <c r="R18" s="216" t="s">
        <v>24</v>
      </c>
      <c r="S18" s="204">
        <f>+P18-M18</f>
        <v>13891970</v>
      </c>
    </row>
    <row r="19" spans="3:19" ht="120" hidden="1">
      <c r="C19" s="176" t="s">
        <v>15</v>
      </c>
      <c r="D19" s="204">
        <f>+'11 seats'!H14</f>
        <v>50188321</v>
      </c>
      <c r="E19" s="204">
        <f>+'11 seats'!H28</f>
        <v>55638252.380952403</v>
      </c>
      <c r="F19" s="211"/>
      <c r="G19" s="211"/>
      <c r="H19" s="211"/>
      <c r="I19" s="250" t="s">
        <v>25</v>
      </c>
      <c r="J19" s="204"/>
      <c r="L19" s="176" t="s">
        <v>15</v>
      </c>
      <c r="M19" s="204">
        <f>+Fortuner!H16</f>
        <v>223594000</v>
      </c>
      <c r="N19" s="204">
        <f>+Fortuner!H32</f>
        <v>35320438</v>
      </c>
      <c r="O19" s="204">
        <f>+Fortuner!H62</f>
        <v>315140820</v>
      </c>
      <c r="P19" s="204">
        <f>+Fortuner!H78</f>
        <v>253058290</v>
      </c>
      <c r="Q19" s="204">
        <f>+Fortuner!H99</f>
        <v>280546029</v>
      </c>
      <c r="R19" s="216" t="s">
        <v>26</v>
      </c>
      <c r="S19" s="204">
        <f t="shared" ref="S19:S22" si="4">+P19-M19</f>
        <v>29464290</v>
      </c>
    </row>
    <row r="20" spans="3:19" ht="75" hidden="1">
      <c r="C20" s="176" t="s">
        <v>17</v>
      </c>
      <c r="D20" s="204">
        <f>+'11 seats'!K14</f>
        <v>47491277.75</v>
      </c>
      <c r="E20" s="204">
        <f>+'11 seats'!K28</f>
        <v>53819475</v>
      </c>
      <c r="F20" s="211"/>
      <c r="G20" s="211"/>
      <c r="H20" s="211"/>
      <c r="I20" s="250" t="s">
        <v>27</v>
      </c>
      <c r="J20" s="204"/>
      <c r="L20" s="176" t="s">
        <v>17</v>
      </c>
      <c r="M20" s="204">
        <f>+Fortuner!K16</f>
        <v>221055500</v>
      </c>
      <c r="N20" s="204">
        <f>+Fortuner!K32</f>
        <v>38479080</v>
      </c>
      <c r="O20" s="204">
        <f>+Fortuner!K62</f>
        <v>312507486.66666669</v>
      </c>
      <c r="P20" s="204">
        <f>+Fortuner!K78</f>
        <v>250741623.33333334</v>
      </c>
      <c r="Q20" s="204">
        <f>+Fortuner!K99</f>
        <v>279004362.33333331</v>
      </c>
      <c r="R20" s="216" t="s">
        <v>28</v>
      </c>
      <c r="S20" s="204">
        <f t="shared" si="4"/>
        <v>29686123.333333343</v>
      </c>
    </row>
    <row r="21" spans="3:19" ht="33" hidden="1" customHeight="1">
      <c r="C21" s="176" t="s">
        <v>19</v>
      </c>
      <c r="D21" s="204">
        <f t="shared" ref="D21:I21" si="5">SUM(D18:D20)</f>
        <v>141453045.09999999</v>
      </c>
      <c r="E21" s="204">
        <f t="shared" si="5"/>
        <v>157394477.38095242</v>
      </c>
      <c r="F21" s="211">
        <f t="shared" si="5"/>
        <v>0</v>
      </c>
      <c r="G21" s="211">
        <f t="shared" si="5"/>
        <v>0</v>
      </c>
      <c r="H21" s="211">
        <f t="shared" si="5"/>
        <v>0</v>
      </c>
      <c r="I21" s="204">
        <f t="shared" si="5"/>
        <v>0</v>
      </c>
      <c r="J21" s="204">
        <f>+E21-D21</f>
        <v>15941432.280952424</v>
      </c>
      <c r="L21" s="176" t="s">
        <v>19</v>
      </c>
      <c r="M21" s="204">
        <f t="shared" ref="M21:R21" si="6">SUM(M18:M20)</f>
        <v>786516000</v>
      </c>
      <c r="N21" s="204">
        <f t="shared" si="6"/>
        <v>118588704</v>
      </c>
      <c r="O21" s="204">
        <f t="shared" si="6"/>
        <v>1071284946.6666667</v>
      </c>
      <c r="P21" s="204">
        <f t="shared" si="6"/>
        <v>859558383.33333337</v>
      </c>
      <c r="Q21" s="204">
        <f t="shared" si="6"/>
        <v>977331199.33333325</v>
      </c>
      <c r="R21" s="204">
        <f t="shared" si="6"/>
        <v>0</v>
      </c>
      <c r="S21" s="204">
        <f t="shared" si="4"/>
        <v>73042383.333333373</v>
      </c>
    </row>
    <row r="22" spans="3:19" ht="33" hidden="1" customHeight="1">
      <c r="C22" s="176" t="s">
        <v>20</v>
      </c>
      <c r="D22" s="210">
        <f>AVERAGE(D18:D20)</f>
        <v>47151015.033333331</v>
      </c>
      <c r="E22" s="210">
        <f>AVERAGE(E18:E20)</f>
        <v>52464825.793650806</v>
      </c>
      <c r="F22" s="212"/>
      <c r="G22" s="212"/>
      <c r="H22" s="204"/>
      <c r="I22" s="204"/>
      <c r="J22" s="210">
        <f>+E22-D22</f>
        <v>5313810.7603174746</v>
      </c>
      <c r="L22" s="176" t="s">
        <v>20</v>
      </c>
      <c r="M22" s="210">
        <f>AVERAGE(M18:M20)</f>
        <v>262172000</v>
      </c>
      <c r="N22" s="204">
        <f>AVERAGE(N18:N20)</f>
        <v>39529568</v>
      </c>
      <c r="O22" s="204">
        <f t="shared" ref="O22:Q22" si="7">AVERAGE(O18:O20)</f>
        <v>357094982.22222227</v>
      </c>
      <c r="P22" s="210">
        <f t="shared" si="7"/>
        <v>286519461.1111111</v>
      </c>
      <c r="Q22" s="204">
        <f t="shared" si="7"/>
        <v>325777066.44444442</v>
      </c>
      <c r="R22" s="204"/>
      <c r="S22" s="210">
        <f t="shared" si="4"/>
        <v>24347461.111111104</v>
      </c>
    </row>
    <row r="23" spans="3:19" hidden="1"/>
    <row r="24" spans="3:19" ht="30" hidden="1">
      <c r="C24" s="207" t="s">
        <v>29</v>
      </c>
      <c r="D24" s="208" t="s">
        <v>3</v>
      </c>
      <c r="E24" s="208" t="s">
        <v>4</v>
      </c>
      <c r="F24" s="208" t="s">
        <v>5</v>
      </c>
      <c r="G24" s="208" t="s">
        <v>6</v>
      </c>
      <c r="H24" s="208" t="s">
        <v>7</v>
      </c>
      <c r="I24" s="208" t="s">
        <v>8</v>
      </c>
      <c r="J24" s="208" t="s">
        <v>9</v>
      </c>
      <c r="L24" s="207" t="s">
        <v>30</v>
      </c>
      <c r="M24" s="208" t="s">
        <v>3</v>
      </c>
      <c r="N24" s="208" t="s">
        <v>4</v>
      </c>
      <c r="O24" s="208" t="s">
        <v>5</v>
      </c>
      <c r="P24" s="208" t="s">
        <v>6</v>
      </c>
      <c r="Q24" s="208" t="s">
        <v>7</v>
      </c>
      <c r="R24" s="208" t="s">
        <v>8</v>
      </c>
      <c r="S24" s="208" t="s">
        <v>9</v>
      </c>
    </row>
    <row r="25" spans="3:19" ht="60" hidden="1">
      <c r="C25" s="176" t="s">
        <v>10</v>
      </c>
      <c r="D25" s="204">
        <v>45143446.350000001</v>
      </c>
      <c r="E25" s="204">
        <f>+'11 seats'!E43</f>
        <v>46298750</v>
      </c>
      <c r="F25" s="211"/>
      <c r="G25" s="211"/>
      <c r="H25" s="211"/>
      <c r="I25" s="250" t="s">
        <v>23</v>
      </c>
      <c r="J25" s="204"/>
      <c r="L25" s="176" t="s">
        <v>10</v>
      </c>
      <c r="M25" s="211"/>
      <c r="N25" s="204">
        <f>+Xpander!E30</f>
        <v>416561500</v>
      </c>
      <c r="O25" s="211"/>
      <c r="P25" s="204">
        <f>+Xpander!E59</f>
        <v>322478034</v>
      </c>
      <c r="Q25" s="211"/>
      <c r="R25" s="216" t="s">
        <v>24</v>
      </c>
      <c r="S25" s="204"/>
    </row>
    <row r="26" spans="3:19" ht="120" hidden="1">
      <c r="C26" s="176" t="s">
        <v>15</v>
      </c>
      <c r="D26" s="204">
        <v>51558321</v>
      </c>
      <c r="E26" s="204">
        <f>+'11 seats'!H43</f>
        <v>53298252.380952403</v>
      </c>
      <c r="F26" s="211"/>
      <c r="G26" s="211"/>
      <c r="H26" s="211"/>
      <c r="I26" s="250" t="s">
        <v>25</v>
      </c>
      <c r="J26" s="204"/>
      <c r="L26" s="176" t="s">
        <v>15</v>
      </c>
      <c r="M26" s="211"/>
      <c r="N26" s="204">
        <f>+Xpander!H30</f>
        <v>289918200</v>
      </c>
      <c r="O26" s="211"/>
      <c r="P26" s="204">
        <f>+Xpander!H59</f>
        <v>235491398</v>
      </c>
      <c r="Q26" s="211"/>
      <c r="R26" s="216" t="s">
        <v>26</v>
      </c>
      <c r="S26" s="204"/>
    </row>
    <row r="27" spans="3:19" ht="75" hidden="1">
      <c r="C27" s="176" t="s">
        <v>17</v>
      </c>
      <c r="D27" s="204">
        <v>48861277.75</v>
      </c>
      <c r="E27" s="204">
        <f>+'11 seats'!K43</f>
        <v>51260100</v>
      </c>
      <c r="F27" s="211"/>
      <c r="G27" s="211"/>
      <c r="H27" s="211"/>
      <c r="I27" s="250" t="s">
        <v>27</v>
      </c>
      <c r="J27" s="204"/>
      <c r="L27" s="176" t="s">
        <v>17</v>
      </c>
      <c r="M27" s="211"/>
      <c r="N27" s="204">
        <f>+Xpander!K30</f>
        <v>286769366.66666663</v>
      </c>
      <c r="O27" s="211"/>
      <c r="P27" s="204">
        <f>+Xpander!K59</f>
        <v>233541397.99999997</v>
      </c>
      <c r="Q27" s="211"/>
      <c r="R27" s="216" t="s">
        <v>28</v>
      </c>
      <c r="S27" s="204"/>
    </row>
    <row r="28" spans="3:19" ht="30" hidden="1" customHeight="1">
      <c r="C28" s="176" t="s">
        <v>19</v>
      </c>
      <c r="D28" s="204">
        <f t="shared" ref="D28:J28" si="8">SUM(D25:D27)</f>
        <v>145563045.09999999</v>
      </c>
      <c r="E28" s="204">
        <f t="shared" si="8"/>
        <v>150857102.38095242</v>
      </c>
      <c r="F28" s="211">
        <f t="shared" si="8"/>
        <v>0</v>
      </c>
      <c r="G28" s="211">
        <f t="shared" si="8"/>
        <v>0</v>
      </c>
      <c r="H28" s="211">
        <f t="shared" si="8"/>
        <v>0</v>
      </c>
      <c r="I28" s="204">
        <f t="shared" si="8"/>
        <v>0</v>
      </c>
      <c r="J28" s="204">
        <f t="shared" si="8"/>
        <v>0</v>
      </c>
      <c r="L28" s="176" t="s">
        <v>19</v>
      </c>
      <c r="M28" s="211">
        <f t="shared" ref="M28:S28" si="9">SUM(M25:M27)</f>
        <v>0</v>
      </c>
      <c r="N28" s="204">
        <f t="shared" si="9"/>
        <v>993249066.66666663</v>
      </c>
      <c r="O28" s="211">
        <f t="shared" si="9"/>
        <v>0</v>
      </c>
      <c r="P28" s="204">
        <f t="shared" si="9"/>
        <v>791510830</v>
      </c>
      <c r="Q28" s="211">
        <f t="shared" si="9"/>
        <v>0</v>
      </c>
      <c r="R28" s="204">
        <f t="shared" si="9"/>
        <v>0</v>
      </c>
      <c r="S28" s="204">
        <f t="shared" si="9"/>
        <v>0</v>
      </c>
    </row>
    <row r="29" spans="3:19" ht="30" hidden="1" customHeight="1">
      <c r="C29" s="176" t="s">
        <v>20</v>
      </c>
      <c r="D29" s="210">
        <f>AVERAGE(D25:D27)</f>
        <v>48521015.033333331</v>
      </c>
      <c r="E29" s="210">
        <f>AVERAGE(E25:E27)</f>
        <v>50285700.793650806</v>
      </c>
      <c r="F29" s="212"/>
      <c r="G29" s="212"/>
      <c r="H29" s="204"/>
      <c r="I29" s="204"/>
      <c r="J29" s="210">
        <f>+E29-D29</f>
        <v>1764685.7603174746</v>
      </c>
      <c r="L29" s="176" t="s">
        <v>20</v>
      </c>
      <c r="M29" s="204"/>
      <c r="N29" s="204">
        <f>AVERAGE(N25:N27)</f>
        <v>331083022.22222221</v>
      </c>
      <c r="O29" s="204"/>
      <c r="P29" s="210">
        <f>AVERAGE(P25:P27)</f>
        <v>263836943.33333334</v>
      </c>
      <c r="Q29" s="204"/>
      <c r="R29" s="204"/>
      <c r="S29" s="204">
        <f>+P29-M29</f>
        <v>263836943.33333334</v>
      </c>
    </row>
    <row r="30" spans="3:19" hidden="1"/>
    <row r="31" spans="3:19" ht="34.5" hidden="1" customHeight="1">
      <c r="C31" s="207" t="s">
        <v>31</v>
      </c>
      <c r="D31" s="208" t="s">
        <v>32</v>
      </c>
      <c r="E31" s="208" t="s">
        <v>4</v>
      </c>
      <c r="F31" s="208" t="s">
        <v>5</v>
      </c>
      <c r="G31" s="208" t="s">
        <v>6</v>
      </c>
      <c r="H31" s="208" t="s">
        <v>7</v>
      </c>
      <c r="I31" s="208" t="s">
        <v>8</v>
      </c>
      <c r="J31" s="208" t="s">
        <v>9</v>
      </c>
      <c r="L31" s="207" t="s">
        <v>33</v>
      </c>
      <c r="M31" s="208" t="s">
        <v>3</v>
      </c>
      <c r="N31" s="208" t="s">
        <v>4</v>
      </c>
      <c r="O31" s="208" t="s">
        <v>5</v>
      </c>
      <c r="P31" s="208" t="s">
        <v>6</v>
      </c>
      <c r="Q31" s="208" t="s">
        <v>7</v>
      </c>
      <c r="R31" s="208" t="s">
        <v>8</v>
      </c>
      <c r="S31" s="208" t="s">
        <v>9</v>
      </c>
    </row>
    <row r="32" spans="3:19" ht="34.5" hidden="1" customHeight="1">
      <c r="C32" s="176" t="s">
        <v>10</v>
      </c>
      <c r="D32" s="211"/>
      <c r="E32" s="204">
        <f>+'11 seats'!E57</f>
        <v>47837144.444444411</v>
      </c>
      <c r="F32" s="211"/>
      <c r="G32" s="211"/>
      <c r="H32" s="211"/>
      <c r="I32" s="285" t="s">
        <v>34</v>
      </c>
      <c r="J32" s="204"/>
      <c r="L32" s="176" t="s">
        <v>10</v>
      </c>
      <c r="M32" s="211"/>
      <c r="N32" s="204">
        <f>+Fortuner.!E28</f>
        <v>525940500</v>
      </c>
      <c r="O32" s="204">
        <f>+Fortuner.!E43</f>
        <v>443636640</v>
      </c>
      <c r="P32" s="204">
        <f>+Fortuner.!E57</f>
        <v>354549062.30769235</v>
      </c>
      <c r="Q32" s="204">
        <f>+Fortuner.!E72</f>
        <v>413069211</v>
      </c>
      <c r="R32" s="204"/>
      <c r="S32" s="204"/>
    </row>
    <row r="33" spans="2:19" ht="34.5" hidden="1" customHeight="1">
      <c r="C33" s="176" t="s">
        <v>15</v>
      </c>
      <c r="D33" s="211"/>
      <c r="E33" s="204">
        <f>+'11 seats'!H57</f>
        <v>52679761.538461581</v>
      </c>
      <c r="F33" s="211"/>
      <c r="G33" s="211"/>
      <c r="H33" s="211"/>
      <c r="I33" s="286"/>
      <c r="J33" s="204"/>
      <c r="L33" s="176" t="s">
        <v>15</v>
      </c>
      <c r="M33" s="211"/>
      <c r="N33" s="204">
        <f>+Fortuner.!H28</f>
        <v>52473500</v>
      </c>
      <c r="O33" s="204">
        <f>+Fortuner.!H43</f>
        <v>47142080</v>
      </c>
      <c r="P33" s="204">
        <f>+Fortuner.!H57</f>
        <v>37370924.545454502</v>
      </c>
      <c r="Q33" s="204">
        <f>+Fortuner.!H72</f>
        <v>41509129.5</v>
      </c>
      <c r="R33" s="204"/>
      <c r="S33" s="204"/>
    </row>
    <row r="34" spans="2:19" ht="34.5" hidden="1" customHeight="1">
      <c r="C34" s="176" t="s">
        <v>17</v>
      </c>
      <c r="D34" s="211"/>
      <c r="E34" s="204">
        <f>+'11 seats'!K57</f>
        <v>50569600</v>
      </c>
      <c r="F34" s="211"/>
      <c r="G34" s="211"/>
      <c r="H34" s="211"/>
      <c r="I34" s="287"/>
      <c r="J34" s="204"/>
      <c r="L34" s="176" t="s">
        <v>17</v>
      </c>
      <c r="M34" s="211"/>
      <c r="N34" s="204">
        <f>+Fortuner.!K28</f>
        <v>51028000</v>
      </c>
      <c r="O34" s="204">
        <f>+Fortuner.!K43</f>
        <v>44867260</v>
      </c>
      <c r="P34" s="204">
        <f>+Fortuner.!K57</f>
        <v>36015470</v>
      </c>
      <c r="Q34" s="204">
        <f>+Fortuner.!K72</f>
        <v>39358463</v>
      </c>
      <c r="R34" s="204"/>
      <c r="S34" s="204"/>
    </row>
    <row r="35" spans="2:19" ht="34.5" hidden="1" customHeight="1">
      <c r="C35" s="176" t="s">
        <v>19</v>
      </c>
      <c r="D35" s="211">
        <f t="shared" ref="D35:J35" si="10">SUM(D32:D34)</f>
        <v>0</v>
      </c>
      <c r="E35" s="204">
        <f t="shared" si="10"/>
        <v>151086505.98290598</v>
      </c>
      <c r="F35" s="211">
        <f t="shared" si="10"/>
        <v>0</v>
      </c>
      <c r="G35" s="211">
        <f t="shared" si="10"/>
        <v>0</v>
      </c>
      <c r="H35" s="211">
        <f t="shared" si="10"/>
        <v>0</v>
      </c>
      <c r="I35" s="204">
        <f t="shared" si="10"/>
        <v>0</v>
      </c>
      <c r="J35" s="204">
        <f t="shared" si="10"/>
        <v>0</v>
      </c>
      <c r="L35" s="176" t="s">
        <v>19</v>
      </c>
      <c r="M35" s="211">
        <f t="shared" ref="M35" si="11">SUM(M32:M34)</f>
        <v>0</v>
      </c>
      <c r="N35" s="204">
        <f t="shared" ref="N35:R35" si="12">SUM(N32:N34)</f>
        <v>629442000</v>
      </c>
      <c r="O35" s="204">
        <f t="shared" si="12"/>
        <v>535645980</v>
      </c>
      <c r="P35" s="204">
        <f t="shared" si="12"/>
        <v>427935456.85314685</v>
      </c>
      <c r="Q35" s="204">
        <f t="shared" si="12"/>
        <v>493936803.5</v>
      </c>
      <c r="R35" s="204">
        <f t="shared" si="12"/>
        <v>0</v>
      </c>
      <c r="S35" s="204"/>
    </row>
    <row r="36" spans="2:19" ht="34.5" hidden="1" customHeight="1">
      <c r="C36" s="176" t="s">
        <v>20</v>
      </c>
      <c r="D36" s="204"/>
      <c r="E36" s="210">
        <f>AVERAGE(E32:E34)</f>
        <v>50362168.660968661</v>
      </c>
      <c r="F36" s="204"/>
      <c r="G36" s="204"/>
      <c r="H36" s="204"/>
      <c r="I36" s="204"/>
      <c r="J36" s="204"/>
      <c r="L36" s="176" t="s">
        <v>20</v>
      </c>
      <c r="M36" s="204"/>
      <c r="N36" s="204">
        <f>AVERAGE(N32:N34)</f>
        <v>209814000</v>
      </c>
      <c r="O36" s="204">
        <f t="shared" ref="O36:Q36" si="13">AVERAGE(O32:O34)</f>
        <v>178548660</v>
      </c>
      <c r="P36" s="210">
        <f t="shared" si="13"/>
        <v>142645152.28438228</v>
      </c>
      <c r="Q36" s="204">
        <f t="shared" si="13"/>
        <v>164645601.16666666</v>
      </c>
      <c r="R36" s="204"/>
      <c r="S36" s="204">
        <f>+P36-M36</f>
        <v>142645152.28438228</v>
      </c>
    </row>
    <row r="37" spans="2:19" hidden="1"/>
    <row r="38" spans="2:19" ht="37.5" hidden="1" customHeight="1">
      <c r="C38" s="207" t="s">
        <v>35</v>
      </c>
      <c r="D38" s="208" t="s">
        <v>32</v>
      </c>
      <c r="E38" s="208" t="s">
        <v>4</v>
      </c>
      <c r="F38" s="208" t="s">
        <v>5</v>
      </c>
      <c r="G38" s="208" t="s">
        <v>6</v>
      </c>
      <c r="H38" s="208" t="s">
        <v>7</v>
      </c>
      <c r="I38" s="208" t="s">
        <v>8</v>
      </c>
      <c r="J38" s="208" t="s">
        <v>9</v>
      </c>
      <c r="L38" s="207" t="s">
        <v>36</v>
      </c>
      <c r="M38" s="208" t="s">
        <v>3</v>
      </c>
      <c r="N38" s="208" t="s">
        <v>4</v>
      </c>
      <c r="O38" s="208" t="s">
        <v>5</v>
      </c>
      <c r="P38" s="208" t="s">
        <v>6</v>
      </c>
      <c r="Q38" s="208" t="s">
        <v>7</v>
      </c>
      <c r="R38" s="208" t="s">
        <v>8</v>
      </c>
      <c r="S38" s="208" t="s">
        <v>9</v>
      </c>
    </row>
    <row r="39" spans="2:19" ht="37.5" hidden="1" customHeight="1">
      <c r="C39" s="176" t="s">
        <v>10</v>
      </c>
      <c r="D39" s="211"/>
      <c r="E39" s="204">
        <f>+'11 seats'!E71</f>
        <v>44779033.333333313</v>
      </c>
      <c r="F39" s="211"/>
      <c r="G39" s="204">
        <f>+'11 seats'!E85</f>
        <v>43140634.306172803</v>
      </c>
      <c r="H39" s="211"/>
      <c r="I39" s="288" t="s">
        <v>37</v>
      </c>
      <c r="J39" s="204"/>
      <c r="L39" s="176" t="s">
        <v>10</v>
      </c>
      <c r="M39" s="211"/>
      <c r="N39" s="204">
        <f>+'Honda CRV'!E30</f>
        <v>536456500</v>
      </c>
      <c r="O39" s="211"/>
      <c r="P39" s="211"/>
      <c r="Q39" s="211"/>
      <c r="R39" s="204"/>
      <c r="S39" s="204"/>
    </row>
    <row r="40" spans="2:19" ht="37.5" hidden="1" customHeight="1">
      <c r="C40" s="176" t="s">
        <v>15</v>
      </c>
      <c r="D40" s="211"/>
      <c r="E40" s="204">
        <f>+'11 seats'!H71</f>
        <v>49604299.999999978</v>
      </c>
      <c r="F40" s="211"/>
      <c r="G40" s="204">
        <f>+'11 seats'!H85</f>
        <v>48544446.959259301</v>
      </c>
      <c r="H40" s="211"/>
      <c r="I40" s="289"/>
      <c r="J40" s="204"/>
      <c r="L40" s="176" t="s">
        <v>15</v>
      </c>
      <c r="M40" s="211"/>
      <c r="N40" s="204">
        <f>+'Honda CRV'!H30</f>
        <v>367440200</v>
      </c>
      <c r="O40" s="211"/>
      <c r="P40" s="211"/>
      <c r="Q40" s="211"/>
      <c r="R40" s="204"/>
      <c r="S40" s="204"/>
    </row>
    <row r="41" spans="2:19" ht="37.5" hidden="1" customHeight="1">
      <c r="C41" s="176" t="s">
        <v>17</v>
      </c>
      <c r="D41" s="211"/>
      <c r="E41" s="204">
        <f>+'11 seats'!K71</f>
        <v>47565933.333333299</v>
      </c>
      <c r="F41" s="211"/>
      <c r="G41" s="204">
        <f>+'11 seats'!K85</f>
        <v>46842024.918518499</v>
      </c>
      <c r="H41" s="211"/>
      <c r="I41" s="290"/>
      <c r="J41" s="204"/>
      <c r="L41" s="176" t="s">
        <v>17</v>
      </c>
      <c r="M41" s="211"/>
      <c r="N41" s="204">
        <f>+'Honda CRV'!K30</f>
        <v>364491366.66666663</v>
      </c>
      <c r="O41" s="211"/>
      <c r="P41" s="211"/>
      <c r="Q41" s="211"/>
      <c r="R41" s="204"/>
      <c r="S41" s="204"/>
    </row>
    <row r="42" spans="2:19" ht="37.5" hidden="1" customHeight="1">
      <c r="C42" s="176" t="s">
        <v>19</v>
      </c>
      <c r="D42" s="211">
        <f t="shared" ref="D42" si="14">SUM(D39:D41)</f>
        <v>0</v>
      </c>
      <c r="E42" s="204">
        <f t="shared" ref="E42:J42" si="15">SUM(E39:E41)</f>
        <v>141949266.66666657</v>
      </c>
      <c r="F42" s="211">
        <f t="shared" si="15"/>
        <v>0</v>
      </c>
      <c r="G42" s="204">
        <f t="shared" si="15"/>
        <v>138527106.1839506</v>
      </c>
      <c r="H42" s="211">
        <f t="shared" si="15"/>
        <v>0</v>
      </c>
      <c r="I42" s="204">
        <f t="shared" si="15"/>
        <v>0</v>
      </c>
      <c r="J42" s="204">
        <f t="shared" si="15"/>
        <v>0</v>
      </c>
      <c r="L42" s="176" t="s">
        <v>19</v>
      </c>
      <c r="M42" s="211">
        <f t="shared" ref="M42:S42" si="16">SUM(M39:M41)</f>
        <v>0</v>
      </c>
      <c r="N42" s="204">
        <f t="shared" si="16"/>
        <v>1268388066.6666665</v>
      </c>
      <c r="O42" s="211">
        <f t="shared" si="16"/>
        <v>0</v>
      </c>
      <c r="P42" s="211">
        <f t="shared" si="16"/>
        <v>0</v>
      </c>
      <c r="Q42" s="211">
        <f t="shared" si="16"/>
        <v>0</v>
      </c>
      <c r="R42" s="204">
        <f t="shared" si="16"/>
        <v>0</v>
      </c>
      <c r="S42" s="204">
        <f t="shared" si="16"/>
        <v>0</v>
      </c>
    </row>
    <row r="43" spans="2:19" ht="37.5" hidden="1" customHeight="1">
      <c r="C43" s="176" t="s">
        <v>20</v>
      </c>
      <c r="D43" s="204"/>
      <c r="E43" s="210">
        <f>AVERAGE(E39:E41)</f>
        <v>47316422.222222187</v>
      </c>
      <c r="F43" s="204"/>
      <c r="G43" s="210">
        <f t="shared" ref="G43" si="17">AVERAGE(G39:G41)</f>
        <v>46175702.06131687</v>
      </c>
      <c r="H43" s="204"/>
      <c r="I43" s="204"/>
      <c r="J43" s="204"/>
      <c r="L43" s="176" t="s">
        <v>20</v>
      </c>
      <c r="M43" s="204"/>
      <c r="N43" s="210">
        <f>AVERAGE(N39:N41)</f>
        <v>422796022.22222215</v>
      </c>
      <c r="O43" s="204"/>
      <c r="P43" s="204"/>
      <c r="Q43" s="204"/>
      <c r="R43" s="204"/>
      <c r="S43" s="204">
        <f>+P43-M43</f>
        <v>0</v>
      </c>
    </row>
    <row r="44" spans="2:19" hidden="1"/>
    <row r="45" spans="2:19" hidden="1"/>
    <row r="48" spans="2:19" ht="24" customHeight="1">
      <c r="B48" s="275" t="s">
        <v>38</v>
      </c>
      <c r="C48" s="274" t="s">
        <v>39</v>
      </c>
      <c r="D48" s="274" t="s">
        <v>40</v>
      </c>
      <c r="E48" s="274" t="s">
        <v>41</v>
      </c>
      <c r="F48" s="268" t="s">
        <v>3</v>
      </c>
      <c r="G48" s="269"/>
      <c r="H48" s="268" t="s">
        <v>42</v>
      </c>
      <c r="I48" s="269"/>
      <c r="J48" s="274" t="s">
        <v>43</v>
      </c>
      <c r="K48" s="274" t="s">
        <v>8</v>
      </c>
      <c r="L48" s="274"/>
      <c r="M48" s="274"/>
    </row>
    <row r="49" spans="2:16" ht="24" customHeight="1">
      <c r="B49" s="275"/>
      <c r="C49" s="274"/>
      <c r="D49" s="274"/>
      <c r="E49" s="274"/>
      <c r="F49" s="3" t="s">
        <v>1</v>
      </c>
      <c r="G49" s="6" t="s">
        <v>44</v>
      </c>
      <c r="H49" s="6" t="s">
        <v>1</v>
      </c>
      <c r="I49" s="6" t="s">
        <v>44</v>
      </c>
      <c r="J49" s="274"/>
      <c r="K49" s="274"/>
      <c r="L49" s="274"/>
      <c r="M49" s="274"/>
    </row>
    <row r="50" spans="2:16" ht="38.25" customHeight="1">
      <c r="B50" s="176" t="s">
        <v>4</v>
      </c>
      <c r="C50" s="176" t="s">
        <v>45</v>
      </c>
      <c r="D50" s="176" t="s">
        <v>10</v>
      </c>
      <c r="E50" s="131">
        <v>1</v>
      </c>
      <c r="F50" s="202">
        <f>+Lexus!E16</f>
        <v>85121795</v>
      </c>
      <c r="G50" s="202">
        <f>+F50*E50</f>
        <v>85121795</v>
      </c>
      <c r="H50" s="202">
        <f>+Lexus!H16</f>
        <v>76154200</v>
      </c>
      <c r="I50" s="202">
        <f>+H50*E50</f>
        <v>76154200</v>
      </c>
      <c r="J50" s="212">
        <f>+I50-G50</f>
        <v>-8967595</v>
      </c>
      <c r="K50" s="270" t="s">
        <v>46</v>
      </c>
      <c r="L50" s="271"/>
      <c r="M50" s="271"/>
    </row>
    <row r="51" spans="2:16" ht="31.5" customHeight="1">
      <c r="B51" s="276" t="s">
        <v>4</v>
      </c>
      <c r="C51" s="279" t="s">
        <v>47</v>
      </c>
      <c r="D51" s="176" t="s">
        <v>10</v>
      </c>
      <c r="E51" s="131">
        <v>1</v>
      </c>
      <c r="F51" s="202">
        <f>+'Camry 2.5G'!E16</f>
        <v>42471157</v>
      </c>
      <c r="G51" s="202">
        <f>+F51*E51</f>
        <v>42471157</v>
      </c>
      <c r="H51" s="202">
        <f>+'Camry 2.5G'!E31</f>
        <v>40682600</v>
      </c>
      <c r="I51" s="202">
        <f>+H51*E51</f>
        <v>40682600</v>
      </c>
      <c r="J51" s="212">
        <f t="shared" ref="J51:J84" si="18">+I51-G51</f>
        <v>-1788557</v>
      </c>
      <c r="K51" s="270" t="s">
        <v>14</v>
      </c>
      <c r="L51" s="271"/>
      <c r="M51" s="271"/>
    </row>
    <row r="52" spans="2:16" ht="31.5" customHeight="1">
      <c r="B52" s="277"/>
      <c r="C52" s="280"/>
      <c r="D52" s="176" t="s">
        <v>15</v>
      </c>
      <c r="E52" s="131">
        <v>1</v>
      </c>
      <c r="F52" s="202">
        <f>+'Camry 2.5G'!H16</f>
        <v>45837757</v>
      </c>
      <c r="G52" s="202">
        <f>+F52*E52</f>
        <v>45837757</v>
      </c>
      <c r="H52" s="202">
        <f>+'Camry 2.5G'!H31</f>
        <v>45223800</v>
      </c>
      <c r="I52" s="202">
        <f>+H52*E52</f>
        <v>45223800</v>
      </c>
      <c r="J52" s="212">
        <f t="shared" si="18"/>
        <v>-613957</v>
      </c>
      <c r="K52" s="270" t="s">
        <v>16</v>
      </c>
      <c r="L52" s="271"/>
      <c r="M52" s="271"/>
    </row>
    <row r="53" spans="2:16" ht="31.5" customHeight="1">
      <c r="B53" s="277"/>
      <c r="C53" s="280"/>
      <c r="D53" s="176" t="s">
        <v>17</v>
      </c>
      <c r="E53" s="131">
        <v>1</v>
      </c>
      <c r="F53" s="202">
        <f>+'Camry 2.5G'!K16</f>
        <v>44133157</v>
      </c>
      <c r="G53" s="202">
        <f>+F53*E53</f>
        <v>44133157</v>
      </c>
      <c r="H53" s="202">
        <f>+'Camry 2.5G'!K31</f>
        <v>42965200</v>
      </c>
      <c r="I53" s="202">
        <f>+H53*E53</f>
        <v>42965200</v>
      </c>
      <c r="J53" s="212">
        <f t="shared" si="18"/>
        <v>-1167957</v>
      </c>
      <c r="K53" s="271"/>
      <c r="L53" s="271"/>
      <c r="M53" s="271"/>
    </row>
    <row r="54" spans="2:16" ht="24" customHeight="1">
      <c r="B54" s="278"/>
      <c r="C54" s="281"/>
      <c r="D54" s="194" t="s">
        <v>48</v>
      </c>
      <c r="E54" s="178">
        <f>SUM(E51:E53)</f>
        <v>3</v>
      </c>
      <c r="F54" s="214">
        <f t="shared" ref="F54:J54" si="19">SUM(F51:F53)</f>
        <v>132442071</v>
      </c>
      <c r="G54" s="214">
        <f t="shared" si="19"/>
        <v>132442071</v>
      </c>
      <c r="H54" s="214">
        <f t="shared" si="19"/>
        <v>128871600</v>
      </c>
      <c r="I54" s="214">
        <f t="shared" si="19"/>
        <v>128871600</v>
      </c>
      <c r="J54" s="217">
        <f t="shared" si="19"/>
        <v>-3570471</v>
      </c>
      <c r="K54" s="271"/>
      <c r="L54" s="271"/>
      <c r="M54" s="271"/>
    </row>
    <row r="55" spans="2:16" ht="31.5" customHeight="1">
      <c r="B55" s="279" t="s">
        <v>6</v>
      </c>
      <c r="C55" s="279" t="s">
        <v>47</v>
      </c>
      <c r="D55" s="176" t="s">
        <v>10</v>
      </c>
      <c r="E55" s="131">
        <v>1</v>
      </c>
      <c r="F55" s="202">
        <f>+'Camry 2.5G'!E16</f>
        <v>42471157</v>
      </c>
      <c r="G55" s="202">
        <f t="shared" ref="G55:G57" si="20">+F55*E55</f>
        <v>42471157</v>
      </c>
      <c r="H55" s="202">
        <f>+'Camry 2.5G'!E60</f>
        <v>33197822</v>
      </c>
      <c r="I55" s="202">
        <f t="shared" ref="I55:I57" si="21">+H55*E55</f>
        <v>33197822</v>
      </c>
      <c r="J55" s="212">
        <f t="shared" ref="J55:J57" si="22">+I55-G55</f>
        <v>-9273335</v>
      </c>
      <c r="K55" s="270" t="s">
        <v>14</v>
      </c>
      <c r="L55" s="271"/>
      <c r="M55" s="271"/>
    </row>
    <row r="56" spans="2:16" ht="31.5" customHeight="1">
      <c r="B56" s="280"/>
      <c r="C56" s="280"/>
      <c r="D56" s="176" t="s">
        <v>15</v>
      </c>
      <c r="E56" s="131">
        <v>1</v>
      </c>
      <c r="F56" s="202">
        <f>+'Camry 2.5G'!H16</f>
        <v>45837757</v>
      </c>
      <c r="G56" s="202">
        <f t="shared" si="20"/>
        <v>45837757</v>
      </c>
      <c r="H56" s="202">
        <f>+'Camry 2.5G'!H60</f>
        <v>38273422</v>
      </c>
      <c r="I56" s="202">
        <f t="shared" si="21"/>
        <v>38273422</v>
      </c>
      <c r="J56" s="212">
        <f t="shared" si="22"/>
        <v>-7564335</v>
      </c>
      <c r="K56" s="270" t="s">
        <v>16</v>
      </c>
      <c r="L56" s="271"/>
      <c r="M56" s="271"/>
    </row>
    <row r="57" spans="2:16" ht="31.5" customHeight="1">
      <c r="B57" s="280"/>
      <c r="C57" s="280"/>
      <c r="D57" s="176" t="s">
        <v>17</v>
      </c>
      <c r="E57" s="131">
        <v>1</v>
      </c>
      <c r="F57" s="202">
        <f>+'Camry 2.5G'!K16</f>
        <v>44133157</v>
      </c>
      <c r="G57" s="202">
        <f t="shared" si="20"/>
        <v>44133157</v>
      </c>
      <c r="H57" s="202">
        <f>+'Camry 2.5G'!K60</f>
        <v>35764522</v>
      </c>
      <c r="I57" s="202">
        <f t="shared" si="21"/>
        <v>35764522</v>
      </c>
      <c r="J57" s="212">
        <f t="shared" si="22"/>
        <v>-8368635</v>
      </c>
      <c r="K57" s="271"/>
      <c r="L57" s="271"/>
      <c r="M57" s="271"/>
    </row>
    <row r="58" spans="2:16" ht="31.5" customHeight="1">
      <c r="B58" s="281"/>
      <c r="C58" s="281"/>
      <c r="D58" s="194" t="s">
        <v>48</v>
      </c>
      <c r="E58" s="178">
        <f>SUM(E55:E57)</f>
        <v>3</v>
      </c>
      <c r="F58" s="214">
        <f>SUM(F55:F57)</f>
        <v>132442071</v>
      </c>
      <c r="G58" s="214">
        <f t="shared" ref="G58:J58" si="23">SUM(G55:G57)</f>
        <v>132442071</v>
      </c>
      <c r="H58" s="214">
        <f t="shared" si="23"/>
        <v>107235766</v>
      </c>
      <c r="I58" s="214">
        <f t="shared" si="23"/>
        <v>107235766</v>
      </c>
      <c r="J58" s="217">
        <f t="shared" si="23"/>
        <v>-25206305</v>
      </c>
      <c r="K58" s="272" t="s">
        <v>49</v>
      </c>
      <c r="L58" s="273"/>
      <c r="M58" s="273"/>
      <c r="N58" s="21">
        <f>J54-J58</f>
        <v>21635834</v>
      </c>
    </row>
    <row r="59" spans="2:16" ht="27" customHeight="1">
      <c r="B59" s="279" t="s">
        <v>6</v>
      </c>
      <c r="C59" s="279" t="s">
        <v>50</v>
      </c>
      <c r="D59" s="176" t="s">
        <v>10</v>
      </c>
      <c r="E59" s="131">
        <v>11</v>
      </c>
      <c r="F59" s="202">
        <f>+G59/E59</f>
        <v>31078772.727272727</v>
      </c>
      <c r="G59" s="202">
        <f>+Fortuner!E16</f>
        <v>341866500</v>
      </c>
      <c r="H59" s="202">
        <f>+I59/E59</f>
        <v>32341679.09090909</v>
      </c>
      <c r="I59" s="202">
        <f>+Fortuner!E78</f>
        <v>355758470</v>
      </c>
      <c r="J59" s="212">
        <f>+I59-G59</f>
        <v>13891970</v>
      </c>
      <c r="K59" s="270" t="s">
        <v>24</v>
      </c>
      <c r="L59" s="271"/>
      <c r="M59" s="271"/>
      <c r="N59" s="133">
        <f>N58/23000</f>
        <v>940.68843478260874</v>
      </c>
      <c r="O59">
        <f>+F59/4000</f>
        <v>7769.693181818182</v>
      </c>
      <c r="P59">
        <f>+H59/4300</f>
        <v>7521.3207188160677</v>
      </c>
    </row>
    <row r="60" spans="2:16" ht="28.5" customHeight="1">
      <c r="B60" s="280"/>
      <c r="C60" s="280"/>
      <c r="D60" s="176" t="s">
        <v>15</v>
      </c>
      <c r="E60" s="131">
        <v>7</v>
      </c>
      <c r="F60" s="202">
        <f t="shared" ref="F60:F63" si="24">+G60/E60</f>
        <v>31942000</v>
      </c>
      <c r="G60" s="202">
        <f>+Fortuner!H16</f>
        <v>223594000</v>
      </c>
      <c r="H60" s="202">
        <f t="shared" ref="H60:H63" si="25">+I60/E60</f>
        <v>36151184.285714284</v>
      </c>
      <c r="I60" s="202">
        <f>+Fortuner!H78</f>
        <v>253058290</v>
      </c>
      <c r="J60" s="212">
        <f t="shared" si="18"/>
        <v>29464290</v>
      </c>
      <c r="K60" s="291" t="s">
        <v>135</v>
      </c>
      <c r="L60" s="292"/>
      <c r="M60" s="293"/>
      <c r="N60" s="22" t="s">
        <v>52</v>
      </c>
      <c r="O60">
        <f t="shared" ref="O60:O62" si="26">+F60/4000</f>
        <v>7985.5</v>
      </c>
      <c r="P60">
        <f t="shared" ref="P60:P62" si="27">+H60/4300</f>
        <v>8407.2521594684385</v>
      </c>
    </row>
    <row r="61" spans="2:16" ht="28.5" customHeight="1">
      <c r="B61" s="280"/>
      <c r="C61" s="280"/>
      <c r="D61" s="176" t="s">
        <v>17</v>
      </c>
      <c r="E61" s="131">
        <v>1</v>
      </c>
      <c r="F61" s="202">
        <f>+Fortuner!E32</f>
        <v>44789186</v>
      </c>
      <c r="G61" s="202">
        <f>+F61*E61</f>
        <v>44789186</v>
      </c>
      <c r="H61" s="202">
        <f>+Fortuner!H32</f>
        <v>35320438</v>
      </c>
      <c r="I61" s="202">
        <f>+H61*E61</f>
        <v>35320438</v>
      </c>
      <c r="J61" s="212">
        <f t="shared" si="18"/>
        <v>-9468748</v>
      </c>
      <c r="K61" s="294"/>
      <c r="L61" s="295"/>
      <c r="M61" s="296"/>
      <c r="N61" s="22"/>
      <c r="O61">
        <f t="shared" si="26"/>
        <v>11197.2965</v>
      </c>
      <c r="P61">
        <f t="shared" si="27"/>
        <v>8214.0553488372097</v>
      </c>
    </row>
    <row r="62" spans="2:16" ht="28.5" customHeight="1">
      <c r="B62" s="280"/>
      <c r="C62" s="281"/>
      <c r="D62" s="176" t="s">
        <v>17</v>
      </c>
      <c r="E62" s="131">
        <v>7</v>
      </c>
      <c r="F62" s="202">
        <f t="shared" si="24"/>
        <v>31579357.142857142</v>
      </c>
      <c r="G62" s="202">
        <f>+Fortuner!K16</f>
        <v>221055500</v>
      </c>
      <c r="H62" s="202">
        <f t="shared" si="25"/>
        <v>35820231.904761903</v>
      </c>
      <c r="I62" s="202">
        <f>+Fortuner!K78</f>
        <v>250741623.33333334</v>
      </c>
      <c r="J62" s="212">
        <f t="shared" si="18"/>
        <v>29686123.333333343</v>
      </c>
      <c r="K62" s="297"/>
      <c r="L62" s="298"/>
      <c r="M62" s="299"/>
      <c r="O62">
        <f t="shared" si="26"/>
        <v>7894.8392857142853</v>
      </c>
      <c r="P62">
        <f t="shared" si="27"/>
        <v>8330.286489479513</v>
      </c>
    </row>
    <row r="63" spans="2:16" ht="37.5" customHeight="1">
      <c r="B63" s="280"/>
      <c r="C63" s="162" t="s">
        <v>53</v>
      </c>
      <c r="D63" s="176" t="s">
        <v>15</v>
      </c>
      <c r="E63" s="131">
        <v>1</v>
      </c>
      <c r="F63" s="202">
        <f t="shared" si="24"/>
        <v>44977000</v>
      </c>
      <c r="G63" s="202">
        <f>+Fortuner!N16</f>
        <v>44977000</v>
      </c>
      <c r="H63" s="202">
        <f t="shared" si="25"/>
        <v>42965470</v>
      </c>
      <c r="I63" s="202">
        <f>+Fortuner!N78</f>
        <v>42965470</v>
      </c>
      <c r="J63" s="212">
        <f t="shared" si="18"/>
        <v>-2011530</v>
      </c>
      <c r="K63" s="270" t="s">
        <v>54</v>
      </c>
      <c r="L63" s="271"/>
      <c r="M63" s="271"/>
      <c r="O63">
        <f>+F63/2600</f>
        <v>17298.846153846152</v>
      </c>
      <c r="P63">
        <f>+H63/4500</f>
        <v>9547.8822222222225</v>
      </c>
    </row>
    <row r="64" spans="2:16" ht="25.5" customHeight="1">
      <c r="B64" s="281"/>
      <c r="C64" s="213"/>
      <c r="D64" s="194" t="s">
        <v>48</v>
      </c>
      <c r="E64" s="178">
        <f>SUM(E59:E63)</f>
        <v>27</v>
      </c>
      <c r="F64" s="214">
        <f t="shared" ref="F64:J64" si="28">SUM(F59:F63)</f>
        <v>184366315.87012985</v>
      </c>
      <c r="G64" s="214">
        <f t="shared" si="28"/>
        <v>876282186</v>
      </c>
      <c r="H64" s="214">
        <f t="shared" si="28"/>
        <v>182599003.28138527</v>
      </c>
      <c r="I64" s="214">
        <f t="shared" si="28"/>
        <v>937844291.33333337</v>
      </c>
      <c r="J64" s="217">
        <f t="shared" si="28"/>
        <v>61562105.333333343</v>
      </c>
      <c r="K64" s="272" t="s">
        <v>55</v>
      </c>
      <c r="L64" s="273"/>
      <c r="M64" s="273"/>
      <c r="O64" s="21"/>
    </row>
    <row r="65" spans="2:15" ht="27" customHeight="1">
      <c r="B65" s="279" t="s">
        <v>5</v>
      </c>
      <c r="C65" s="279" t="s">
        <v>50</v>
      </c>
      <c r="D65" s="176" t="s">
        <v>10</v>
      </c>
      <c r="E65" s="131">
        <v>11</v>
      </c>
      <c r="F65" s="202">
        <f>+G65/E65</f>
        <v>31078772.727272727</v>
      </c>
      <c r="G65" s="202">
        <f>+Fortuner!E16</f>
        <v>341866500</v>
      </c>
      <c r="H65" s="202">
        <f>+I65/E65</f>
        <v>40330603.636363633</v>
      </c>
      <c r="I65" s="202">
        <f>+Fortuner!E62</f>
        <v>443636640</v>
      </c>
      <c r="J65" s="212">
        <f>+I65-G65</f>
        <v>101770140</v>
      </c>
      <c r="K65" s="270" t="s">
        <v>24</v>
      </c>
      <c r="L65" s="271"/>
      <c r="M65" s="271"/>
    </row>
    <row r="66" spans="2:15" ht="28.5" customHeight="1">
      <c r="B66" s="280"/>
      <c r="C66" s="280"/>
      <c r="D66" s="176" t="s">
        <v>15</v>
      </c>
      <c r="E66" s="131">
        <v>7</v>
      </c>
      <c r="F66" s="202">
        <f t="shared" ref="F66:F69" si="29">+G66/E66</f>
        <v>31942000</v>
      </c>
      <c r="G66" s="202">
        <f>+Fortuner!H16</f>
        <v>223594000</v>
      </c>
      <c r="H66" s="202">
        <f t="shared" ref="H66:H69" si="30">+I66/E66</f>
        <v>45020117.142857142</v>
      </c>
      <c r="I66" s="202">
        <f>+Fortuner!H62</f>
        <v>315140820</v>
      </c>
      <c r="J66" s="212">
        <f t="shared" ref="J66:J69" si="31">+I66-G66</f>
        <v>91546820</v>
      </c>
      <c r="K66" s="291" t="s">
        <v>135</v>
      </c>
      <c r="L66" s="292"/>
      <c r="M66" s="293"/>
      <c r="N66" s="22" t="s">
        <v>52</v>
      </c>
    </row>
    <row r="67" spans="2:15" ht="28.5" customHeight="1">
      <c r="B67" s="280"/>
      <c r="C67" s="280"/>
      <c r="D67" s="176" t="s">
        <v>17</v>
      </c>
      <c r="E67" s="131">
        <v>1</v>
      </c>
      <c r="F67" s="202">
        <f>+F61</f>
        <v>44789186</v>
      </c>
      <c r="G67" s="202">
        <f>+F67*E67</f>
        <v>44789186</v>
      </c>
      <c r="H67" s="202">
        <f>+Fortuner!K32</f>
        <v>38479080</v>
      </c>
      <c r="I67" s="202">
        <f>+H67*E67</f>
        <v>38479080</v>
      </c>
      <c r="J67" s="212">
        <f t="shared" si="31"/>
        <v>-6310106</v>
      </c>
      <c r="K67" s="294"/>
      <c r="L67" s="295"/>
      <c r="M67" s="296"/>
      <c r="N67" s="22"/>
    </row>
    <row r="68" spans="2:15" ht="28.5" customHeight="1">
      <c r="B68" s="280"/>
      <c r="C68" s="281"/>
      <c r="D68" s="176" t="s">
        <v>17</v>
      </c>
      <c r="E68" s="131">
        <v>7</v>
      </c>
      <c r="F68" s="202">
        <f t="shared" si="29"/>
        <v>31579357.142857142</v>
      </c>
      <c r="G68" s="202">
        <f>+Fortuner!K16</f>
        <v>221055500</v>
      </c>
      <c r="H68" s="202">
        <f t="shared" si="30"/>
        <v>44643926.666666672</v>
      </c>
      <c r="I68" s="202">
        <f>+Fortuner!K62</f>
        <v>312507486.66666669</v>
      </c>
      <c r="J68" s="212">
        <f t="shared" si="31"/>
        <v>91451986.666666687</v>
      </c>
      <c r="K68" s="297"/>
      <c r="L68" s="298"/>
      <c r="M68" s="299"/>
    </row>
    <row r="69" spans="2:15" ht="37.5" customHeight="1">
      <c r="B69" s="280"/>
      <c r="C69" s="162" t="s">
        <v>53</v>
      </c>
      <c r="D69" s="176" t="s">
        <v>15</v>
      </c>
      <c r="E69" s="131">
        <v>1</v>
      </c>
      <c r="F69" s="202">
        <f t="shared" si="29"/>
        <v>44977000</v>
      </c>
      <c r="G69" s="202">
        <f>+Fortuner!N16</f>
        <v>44977000</v>
      </c>
      <c r="H69" s="202">
        <f t="shared" si="30"/>
        <v>53826900</v>
      </c>
      <c r="I69" s="202">
        <f>+Fortuner!N62</f>
        <v>53826900</v>
      </c>
      <c r="J69" s="212">
        <f t="shared" si="31"/>
        <v>8849900</v>
      </c>
      <c r="K69" s="270" t="s">
        <v>54</v>
      </c>
      <c r="L69" s="271"/>
      <c r="M69" s="271"/>
    </row>
    <row r="70" spans="2:15" ht="26.25" customHeight="1">
      <c r="B70" s="281"/>
      <c r="C70" s="213"/>
      <c r="D70" s="194" t="s">
        <v>48</v>
      </c>
      <c r="E70" s="178">
        <f>SUM(E65:E69)</f>
        <v>27</v>
      </c>
      <c r="F70" s="214">
        <f t="shared" ref="F70" si="32">SUM(F65:F69)</f>
        <v>184366315.87012985</v>
      </c>
      <c r="G70" s="214">
        <f t="shared" ref="G70:H70" si="33">SUM(G65:G69)</f>
        <v>876282186</v>
      </c>
      <c r="H70" s="214">
        <f t="shared" si="33"/>
        <v>222300627.44588745</v>
      </c>
      <c r="I70" s="214">
        <f t="shared" ref="I70" si="34">SUM(I65:I69)</f>
        <v>1163590926.6666667</v>
      </c>
      <c r="J70" s="217">
        <f t="shared" ref="J70" si="35">SUM(J65:J69)</f>
        <v>287308740.66666669</v>
      </c>
      <c r="K70" s="272" t="s">
        <v>57</v>
      </c>
      <c r="L70" s="273"/>
      <c r="M70" s="273"/>
      <c r="O70" s="21"/>
    </row>
    <row r="71" spans="2:15" ht="27" customHeight="1">
      <c r="B71" s="279" t="s">
        <v>7</v>
      </c>
      <c r="C71" s="279" t="s">
        <v>50</v>
      </c>
      <c r="D71" s="176" t="s">
        <v>10</v>
      </c>
      <c r="E71" s="131">
        <v>11</v>
      </c>
      <c r="F71" s="202">
        <f>+G71/E71</f>
        <v>31078772.727272727</v>
      </c>
      <c r="G71" s="202">
        <f>+Fortuner!E16</f>
        <v>341866500</v>
      </c>
      <c r="H71" s="202">
        <f>+I71/E71</f>
        <v>37980073.454545453</v>
      </c>
      <c r="I71" s="202">
        <f>+Fortuner!E99</f>
        <v>417780808</v>
      </c>
      <c r="J71" s="212">
        <f>+I71-G71</f>
        <v>75914308</v>
      </c>
      <c r="K71" s="270" t="s">
        <v>24</v>
      </c>
      <c r="L71" s="271"/>
      <c r="M71" s="271"/>
    </row>
    <row r="72" spans="2:15" ht="28.5" customHeight="1">
      <c r="B72" s="280"/>
      <c r="C72" s="280"/>
      <c r="D72" s="176" t="s">
        <v>15</v>
      </c>
      <c r="E72" s="131">
        <v>7</v>
      </c>
      <c r="F72" s="202">
        <f t="shared" ref="F72:F75" si="36">+G72/E72</f>
        <v>31942000</v>
      </c>
      <c r="G72" s="202">
        <f>+Fortuner!H16</f>
        <v>223594000</v>
      </c>
      <c r="H72" s="202">
        <f t="shared" ref="H72:H75" si="37">+I72/E72</f>
        <v>40078004.142857142</v>
      </c>
      <c r="I72" s="202">
        <f>+Fortuner!H99</f>
        <v>280546029</v>
      </c>
      <c r="J72" s="212">
        <f t="shared" ref="J72:J75" si="38">+I72-G72</f>
        <v>56952029</v>
      </c>
      <c r="K72" s="291" t="s">
        <v>135</v>
      </c>
      <c r="L72" s="292"/>
      <c r="M72" s="293"/>
      <c r="N72" s="22" t="s">
        <v>52</v>
      </c>
    </row>
    <row r="73" spans="2:15" ht="28.5" customHeight="1">
      <c r="B73" s="280"/>
      <c r="C73" s="280"/>
      <c r="D73" s="176" t="s">
        <v>17</v>
      </c>
      <c r="E73" s="131">
        <v>1</v>
      </c>
      <c r="F73" s="202">
        <f>+F61</f>
        <v>44789186</v>
      </c>
      <c r="G73" s="202">
        <f>+F73*E73</f>
        <v>44789186</v>
      </c>
      <c r="H73" s="202">
        <f>+Fortuner!N32</f>
        <v>38618478</v>
      </c>
      <c r="I73" s="202">
        <f>+H73*E73</f>
        <v>38618478</v>
      </c>
      <c r="J73" s="212">
        <f t="shared" si="38"/>
        <v>-6170708</v>
      </c>
      <c r="K73" s="294"/>
      <c r="L73" s="295"/>
      <c r="M73" s="296"/>
      <c r="N73" s="22"/>
    </row>
    <row r="74" spans="2:15" ht="28.5" customHeight="1">
      <c r="B74" s="280"/>
      <c r="C74" s="281"/>
      <c r="D74" s="176" t="s">
        <v>17</v>
      </c>
      <c r="E74" s="131">
        <v>7</v>
      </c>
      <c r="F74" s="202">
        <f t="shared" si="36"/>
        <v>31579357.142857142</v>
      </c>
      <c r="G74" s="202">
        <f>+Fortuner!K16</f>
        <v>221055500</v>
      </c>
      <c r="H74" s="202">
        <f t="shared" si="37"/>
        <v>39857766.047619045</v>
      </c>
      <c r="I74" s="202">
        <f>+Fortuner!K99</f>
        <v>279004362.33333331</v>
      </c>
      <c r="J74" s="212">
        <f t="shared" si="38"/>
        <v>57948862.333333313</v>
      </c>
      <c r="K74" s="297"/>
      <c r="L74" s="298"/>
      <c r="M74" s="299"/>
    </row>
    <row r="75" spans="2:15" ht="37.5" customHeight="1">
      <c r="B75" s="280"/>
      <c r="C75" s="162" t="s">
        <v>53</v>
      </c>
      <c r="D75" s="176" t="s">
        <v>15</v>
      </c>
      <c r="E75" s="131">
        <v>1</v>
      </c>
      <c r="F75" s="202">
        <f t="shared" si="36"/>
        <v>44977000</v>
      </c>
      <c r="G75" s="202">
        <f>+Fortuner!N16</f>
        <v>44977000</v>
      </c>
      <c r="H75" s="202">
        <f t="shared" si="37"/>
        <v>46653112</v>
      </c>
      <c r="I75" s="202">
        <f>+Fortuner!N99</f>
        <v>46653112</v>
      </c>
      <c r="J75" s="212">
        <f t="shared" si="38"/>
        <v>1676112</v>
      </c>
      <c r="K75" s="270" t="s">
        <v>54</v>
      </c>
      <c r="L75" s="271"/>
      <c r="M75" s="271"/>
    </row>
    <row r="76" spans="2:15" ht="25.5" customHeight="1">
      <c r="B76" s="281"/>
      <c r="C76" s="213"/>
      <c r="D76" s="194" t="s">
        <v>48</v>
      </c>
      <c r="E76" s="178">
        <f>SUM(E71:E75)</f>
        <v>27</v>
      </c>
      <c r="F76" s="214">
        <f t="shared" ref="F76" si="39">SUM(F71:F75)</f>
        <v>184366315.87012985</v>
      </c>
      <c r="G76" s="214">
        <f t="shared" ref="G76:H76" si="40">SUM(G71:G75)</f>
        <v>876282186</v>
      </c>
      <c r="H76" s="214">
        <f t="shared" si="40"/>
        <v>203187433.64502165</v>
      </c>
      <c r="I76" s="214">
        <f t="shared" ref="I76" si="41">SUM(I71:I75)</f>
        <v>1062602789.3333333</v>
      </c>
      <c r="J76" s="217">
        <f t="shared" ref="J76" si="42">SUM(J71:J75)</f>
        <v>186320603.33333331</v>
      </c>
      <c r="K76" s="272" t="s">
        <v>56</v>
      </c>
      <c r="L76" s="273"/>
      <c r="M76" s="273"/>
      <c r="O76" s="21"/>
    </row>
    <row r="77" spans="2:15" ht="27" customHeight="1">
      <c r="B77" s="279" t="s">
        <v>6</v>
      </c>
      <c r="C77" s="279" t="s">
        <v>58</v>
      </c>
      <c r="D77" s="176" t="s">
        <v>10</v>
      </c>
      <c r="E77" s="131">
        <v>11</v>
      </c>
      <c r="F77" s="202">
        <f>+G77/E77</f>
        <v>31078772.727272727</v>
      </c>
      <c r="G77" s="202">
        <f>+G65</f>
        <v>341866500</v>
      </c>
      <c r="H77" s="202">
        <f>+I77/E77</f>
        <v>29316184.90909091</v>
      </c>
      <c r="I77" s="202">
        <f>+Xpander!E59</f>
        <v>322478034</v>
      </c>
      <c r="J77" s="212">
        <f>+I77-G77</f>
        <v>-19388466</v>
      </c>
      <c r="K77" s="270" t="s">
        <v>24</v>
      </c>
      <c r="L77" s="271"/>
      <c r="M77" s="271"/>
    </row>
    <row r="78" spans="2:15" ht="28.5" customHeight="1">
      <c r="B78" s="280"/>
      <c r="C78" s="280"/>
      <c r="D78" s="176" t="s">
        <v>15</v>
      </c>
      <c r="E78" s="131">
        <v>7</v>
      </c>
      <c r="F78" s="202">
        <f t="shared" ref="F78" si="43">+G78/E78</f>
        <v>31942000</v>
      </c>
      <c r="G78" s="202">
        <f>+G66</f>
        <v>223594000</v>
      </c>
      <c r="H78" s="202">
        <f t="shared" ref="H78" si="44">+I78/E78</f>
        <v>33641628.285714284</v>
      </c>
      <c r="I78" s="202">
        <f>+Xpander!H59</f>
        <v>235491398</v>
      </c>
      <c r="J78" s="212">
        <f t="shared" ref="J78:J81" si="45">+I78-G78</f>
        <v>11897398</v>
      </c>
      <c r="K78" s="291" t="s">
        <v>135</v>
      </c>
      <c r="L78" s="292"/>
      <c r="M78" s="293"/>
      <c r="N78" s="22" t="s">
        <v>52</v>
      </c>
    </row>
    <row r="79" spans="2:15" ht="28.5" customHeight="1">
      <c r="B79" s="280"/>
      <c r="C79" s="280"/>
      <c r="D79" s="176" t="s">
        <v>17</v>
      </c>
      <c r="E79" s="131">
        <v>1</v>
      </c>
      <c r="F79" s="202">
        <f>+G79</f>
        <v>44789186</v>
      </c>
      <c r="G79" s="202">
        <f>+G67</f>
        <v>44789186</v>
      </c>
      <c r="H79" s="202">
        <f>+Xpander!K104</f>
        <v>33400914</v>
      </c>
      <c r="I79" s="202">
        <f>+H79*E79</f>
        <v>33400914</v>
      </c>
      <c r="J79" s="212">
        <f t="shared" si="45"/>
        <v>-11388272</v>
      </c>
      <c r="K79" s="294"/>
      <c r="L79" s="295"/>
      <c r="M79" s="296"/>
      <c r="N79" s="22"/>
    </row>
    <row r="80" spans="2:15" ht="28.5" customHeight="1">
      <c r="B80" s="280"/>
      <c r="C80" s="281"/>
      <c r="D80" s="176" t="s">
        <v>17</v>
      </c>
      <c r="E80" s="131">
        <v>7</v>
      </c>
      <c r="F80" s="202">
        <f t="shared" ref="F80:F81" si="46">+G80/E80</f>
        <v>31579357.142857142</v>
      </c>
      <c r="G80" s="202">
        <f>+G68</f>
        <v>221055500</v>
      </c>
      <c r="H80" s="202">
        <f t="shared" ref="H80:H81" si="47">+I80/E80</f>
        <v>33363056.857142854</v>
      </c>
      <c r="I80" s="202">
        <f>+Xpander!K59</f>
        <v>233541397.99999997</v>
      </c>
      <c r="J80" s="212">
        <f t="shared" si="45"/>
        <v>12485897.99999997</v>
      </c>
      <c r="K80" s="297"/>
      <c r="L80" s="298"/>
      <c r="M80" s="299"/>
    </row>
    <row r="81" spans="2:15" ht="37.5" customHeight="1">
      <c r="B81" s="280"/>
      <c r="C81" s="162" t="s">
        <v>59</v>
      </c>
      <c r="D81" s="176" t="s">
        <v>15</v>
      </c>
      <c r="E81" s="131">
        <v>1</v>
      </c>
      <c r="F81" s="202">
        <f t="shared" si="46"/>
        <v>44977000</v>
      </c>
      <c r="G81" s="202">
        <f>+G63</f>
        <v>44977000</v>
      </c>
      <c r="H81" s="202">
        <f t="shared" si="47"/>
        <v>40261153.968254</v>
      </c>
      <c r="I81" s="202">
        <f>+Xpander!N59</f>
        <v>40261153.968254</v>
      </c>
      <c r="J81" s="212">
        <f t="shared" si="45"/>
        <v>-4715846.0317460001</v>
      </c>
      <c r="K81" s="270" t="s">
        <v>54</v>
      </c>
      <c r="L81" s="271"/>
      <c r="M81" s="271"/>
    </row>
    <row r="82" spans="2:15" ht="25.5" customHeight="1">
      <c r="B82" s="281"/>
      <c r="C82" s="213"/>
      <c r="D82" s="194" t="s">
        <v>48</v>
      </c>
      <c r="E82" s="178">
        <f>SUM(E77:E81)</f>
        <v>27</v>
      </c>
      <c r="F82" s="214">
        <f t="shared" ref="F82" si="48">SUM(F77:F81)</f>
        <v>184366315.87012985</v>
      </c>
      <c r="G82" s="214">
        <f t="shared" ref="G82:H82" si="49">SUM(G77:G81)</f>
        <v>876282186</v>
      </c>
      <c r="H82" s="214">
        <f t="shared" si="49"/>
        <v>169982938.02020204</v>
      </c>
      <c r="I82" s="214">
        <f t="shared" ref="I82" si="50">SUM(I77:I81)</f>
        <v>865172897.96825397</v>
      </c>
      <c r="J82" s="217">
        <f t="shared" ref="J82" si="51">SUM(J77:J81)</f>
        <v>-11109288.03174603</v>
      </c>
      <c r="K82" s="273"/>
      <c r="L82" s="273"/>
      <c r="M82" s="273"/>
      <c r="O82" s="21"/>
    </row>
    <row r="83" spans="2:15" ht="32.1" customHeight="1">
      <c r="B83" s="276" t="s">
        <v>4</v>
      </c>
      <c r="C83" s="276" t="s">
        <v>60</v>
      </c>
      <c r="D83" s="176" t="s">
        <v>61</v>
      </c>
      <c r="E83" s="131">
        <v>18</v>
      </c>
      <c r="F83" s="202">
        <f>G83/E83</f>
        <v>43991472.081349209</v>
      </c>
      <c r="G83" s="202">
        <f>'11 seats (Hiace)'!E15</f>
        <v>791846497.46428573</v>
      </c>
      <c r="H83" s="202">
        <f>I83/E83</f>
        <v>41623202.470238097</v>
      </c>
      <c r="I83" s="202">
        <f>'11 seats (Hiace)'!E30</f>
        <v>749217644.46428573</v>
      </c>
      <c r="J83" s="212">
        <f t="shared" si="18"/>
        <v>-42628853</v>
      </c>
      <c r="K83" s="270" t="s">
        <v>62</v>
      </c>
      <c r="L83" s="271"/>
      <c r="M83" s="271"/>
    </row>
    <row r="84" spans="2:15" ht="30" customHeight="1">
      <c r="B84" s="277"/>
      <c r="C84" s="277"/>
      <c r="D84" s="176" t="s">
        <v>63</v>
      </c>
      <c r="E84" s="131">
        <v>10</v>
      </c>
      <c r="F84" s="202">
        <f>G84/E84</f>
        <v>47874595.346428573</v>
      </c>
      <c r="G84" s="202">
        <f>'11 seats (Hiace)'!Q15</f>
        <v>478745953.46428573</v>
      </c>
      <c r="H84" s="202">
        <f>I84/E84</f>
        <v>45347284.446428575</v>
      </c>
      <c r="I84" s="202">
        <f>'11 seats (Hiace)'!E45</f>
        <v>453472844.46428573</v>
      </c>
      <c r="J84" s="212">
        <f t="shared" si="18"/>
        <v>-25273109</v>
      </c>
      <c r="K84" s="271"/>
      <c r="L84" s="271"/>
      <c r="M84" s="271"/>
    </row>
    <row r="85" spans="2:15" ht="33" customHeight="1">
      <c r="B85" s="277"/>
      <c r="C85" s="277"/>
      <c r="D85" s="162" t="s">
        <v>64</v>
      </c>
      <c r="E85" s="176">
        <v>8</v>
      </c>
      <c r="F85" s="218"/>
      <c r="G85" s="218"/>
      <c r="H85" s="202">
        <v>52823000</v>
      </c>
      <c r="I85" s="202">
        <f t="shared" ref="I85:I90" si="52">H85*$E$85</f>
        <v>422584000</v>
      </c>
      <c r="J85" s="219"/>
      <c r="K85" s="271"/>
      <c r="L85" s="271"/>
      <c r="M85" s="271"/>
    </row>
    <row r="86" spans="2:15" ht="33" customHeight="1">
      <c r="B86" s="277"/>
      <c r="C86" s="277"/>
      <c r="D86" s="162" t="s">
        <v>65</v>
      </c>
      <c r="E86" s="176">
        <v>8</v>
      </c>
      <c r="F86" s="218"/>
      <c r="G86" s="218"/>
      <c r="H86" s="202">
        <v>48728000</v>
      </c>
      <c r="I86" s="202">
        <f t="shared" si="52"/>
        <v>389824000</v>
      </c>
      <c r="J86" s="219"/>
      <c r="K86" s="271"/>
      <c r="L86" s="271"/>
      <c r="M86" s="271"/>
    </row>
    <row r="87" spans="2:15" ht="33" customHeight="1">
      <c r="B87" s="277"/>
      <c r="C87" s="277"/>
      <c r="D87" s="162" t="s">
        <v>66</v>
      </c>
      <c r="E87" s="176">
        <v>8</v>
      </c>
      <c r="F87" s="218"/>
      <c r="G87" s="218"/>
      <c r="H87" s="202">
        <v>45794000</v>
      </c>
      <c r="I87" s="202">
        <f t="shared" si="52"/>
        <v>366352000</v>
      </c>
      <c r="J87" s="219"/>
      <c r="K87" s="271"/>
      <c r="L87" s="271"/>
      <c r="M87" s="271"/>
    </row>
    <row r="88" spans="2:15" ht="36.75" customHeight="1">
      <c r="B88" s="277"/>
      <c r="C88" s="277"/>
      <c r="D88" s="162" t="s">
        <v>67</v>
      </c>
      <c r="E88" s="176">
        <v>8</v>
      </c>
      <c r="F88" s="218"/>
      <c r="G88" s="218"/>
      <c r="H88" s="202">
        <v>42657000</v>
      </c>
      <c r="I88" s="202">
        <f t="shared" si="52"/>
        <v>341256000</v>
      </c>
      <c r="J88" s="219"/>
      <c r="K88" s="271"/>
      <c r="L88" s="271"/>
      <c r="M88" s="271"/>
    </row>
    <row r="89" spans="2:15" ht="33" customHeight="1">
      <c r="B89" s="277"/>
      <c r="C89" s="277"/>
      <c r="D89" s="162" t="s">
        <v>68</v>
      </c>
      <c r="E89" s="176" t="s">
        <v>69</v>
      </c>
      <c r="F89" s="218"/>
      <c r="G89" s="218"/>
      <c r="H89" s="202">
        <v>49308500</v>
      </c>
      <c r="I89" s="202">
        <f t="shared" si="52"/>
        <v>394468000</v>
      </c>
      <c r="J89" s="219"/>
      <c r="K89" s="271"/>
      <c r="L89" s="271"/>
      <c r="M89" s="271"/>
    </row>
    <row r="90" spans="2:15" ht="33" customHeight="1">
      <c r="B90" s="277"/>
      <c r="C90" s="277"/>
      <c r="D90" s="162" t="s">
        <v>70</v>
      </c>
      <c r="E90" s="176" t="s">
        <v>69</v>
      </c>
      <c r="F90" s="218"/>
      <c r="G90" s="218"/>
      <c r="H90" s="202">
        <v>45692500</v>
      </c>
      <c r="I90" s="202">
        <f t="shared" si="52"/>
        <v>365540000</v>
      </c>
      <c r="J90" s="219"/>
      <c r="K90" s="271"/>
      <c r="L90" s="271"/>
      <c r="M90" s="271"/>
    </row>
    <row r="91" spans="2:15" ht="33" customHeight="1">
      <c r="B91" s="277"/>
      <c r="C91" s="277"/>
      <c r="D91" s="176" t="s">
        <v>71</v>
      </c>
      <c r="E91" s="176"/>
      <c r="F91" s="202"/>
      <c r="G91" s="202">
        <f t="shared" ref="G91:G96" si="53">$G$83</f>
        <v>791846497.46428573</v>
      </c>
      <c r="H91" s="202"/>
      <c r="I91" s="202">
        <f t="shared" ref="I91:I96" si="54">$I$84+I85</f>
        <v>876056844.46428573</v>
      </c>
      <c r="J91" s="212">
        <f t="shared" ref="J91:J95" si="55">+I91-G91</f>
        <v>84210347</v>
      </c>
      <c r="K91" s="271"/>
      <c r="L91" s="271"/>
      <c r="M91" s="271"/>
    </row>
    <row r="92" spans="2:15" ht="33" customHeight="1">
      <c r="B92" s="277"/>
      <c r="C92" s="277"/>
      <c r="D92" s="176" t="s">
        <v>72</v>
      </c>
      <c r="E92" s="176"/>
      <c r="F92" s="202"/>
      <c r="G92" s="202">
        <f t="shared" si="53"/>
        <v>791846497.46428573</v>
      </c>
      <c r="H92" s="202"/>
      <c r="I92" s="202">
        <f t="shared" si="54"/>
        <v>843296844.46428573</v>
      </c>
      <c r="J92" s="212">
        <f t="shared" si="55"/>
        <v>51450347</v>
      </c>
      <c r="K92" s="271"/>
      <c r="L92" s="271"/>
      <c r="M92" s="271"/>
    </row>
    <row r="93" spans="2:15" ht="33" customHeight="1">
      <c r="B93" s="277"/>
      <c r="C93" s="277"/>
      <c r="D93" s="176" t="s">
        <v>73</v>
      </c>
      <c r="E93" s="176"/>
      <c r="F93" s="202"/>
      <c r="G93" s="202">
        <f t="shared" si="53"/>
        <v>791846497.46428573</v>
      </c>
      <c r="H93" s="202"/>
      <c r="I93" s="202">
        <f t="shared" si="54"/>
        <v>819824844.46428573</v>
      </c>
      <c r="J93" s="212">
        <f t="shared" si="55"/>
        <v>27978347</v>
      </c>
      <c r="K93" s="271"/>
      <c r="L93" s="271"/>
      <c r="M93" s="271"/>
    </row>
    <row r="94" spans="2:15" ht="33" customHeight="1">
      <c r="B94" s="277"/>
      <c r="C94" s="277"/>
      <c r="D94" s="176" t="s">
        <v>74</v>
      </c>
      <c r="E94" s="176"/>
      <c r="F94" s="202"/>
      <c r="G94" s="202">
        <f t="shared" si="53"/>
        <v>791846497.46428573</v>
      </c>
      <c r="H94" s="202"/>
      <c r="I94" s="202">
        <f t="shared" si="54"/>
        <v>794728844.46428573</v>
      </c>
      <c r="J94" s="212">
        <f t="shared" si="55"/>
        <v>2882347</v>
      </c>
      <c r="K94" s="271"/>
      <c r="L94" s="271"/>
      <c r="M94" s="271"/>
    </row>
    <row r="95" spans="2:15" ht="33" customHeight="1">
      <c r="B95" s="277"/>
      <c r="C95" s="277"/>
      <c r="D95" s="176" t="s">
        <v>75</v>
      </c>
      <c r="E95" s="176"/>
      <c r="F95" s="202"/>
      <c r="G95" s="202">
        <f t="shared" si="53"/>
        <v>791846497.46428573</v>
      </c>
      <c r="H95" s="202"/>
      <c r="I95" s="202">
        <f t="shared" si="54"/>
        <v>847940844.46428573</v>
      </c>
      <c r="J95" s="212">
        <f t="shared" si="55"/>
        <v>56094347</v>
      </c>
      <c r="K95" s="271"/>
      <c r="L95" s="271"/>
      <c r="M95" s="271"/>
    </row>
    <row r="96" spans="2:15" ht="33" customHeight="1">
      <c r="B96" s="277"/>
      <c r="C96" s="277"/>
      <c r="D96" s="176" t="s">
        <v>76</v>
      </c>
      <c r="E96" s="176"/>
      <c r="F96" s="202"/>
      <c r="G96" s="202">
        <f t="shared" si="53"/>
        <v>791846497.46428573</v>
      </c>
      <c r="H96" s="202"/>
      <c r="I96" s="202">
        <f t="shared" si="54"/>
        <v>819012844.46428573</v>
      </c>
      <c r="J96" s="210">
        <f t="shared" ref="J96:J98" si="56">+I96-G96</f>
        <v>27166347</v>
      </c>
      <c r="K96" s="271"/>
      <c r="L96" s="271"/>
      <c r="M96" s="271"/>
    </row>
    <row r="97" spans="2:13" ht="32.1" customHeight="1">
      <c r="B97" s="276"/>
      <c r="C97" s="276" t="s">
        <v>77</v>
      </c>
      <c r="D97" s="176" t="s">
        <v>61</v>
      </c>
      <c r="E97" s="131">
        <v>19</v>
      </c>
      <c r="F97" s="202">
        <f>G97/E97</f>
        <v>50316781.684210524</v>
      </c>
      <c r="G97" s="202">
        <f>'11 seats (Hiace)'!H15</f>
        <v>956018852</v>
      </c>
      <c r="H97" s="202">
        <f>I97/E97</f>
        <v>46956135.789473683</v>
      </c>
      <c r="I97" s="202">
        <f>'11 seats (Hiace)'!H30</f>
        <v>892166580</v>
      </c>
      <c r="J97" s="212">
        <f t="shared" si="56"/>
        <v>-63852272</v>
      </c>
      <c r="K97" s="270" t="s">
        <v>78</v>
      </c>
      <c r="L97" s="271"/>
      <c r="M97" s="271"/>
    </row>
    <row r="98" spans="2:13" ht="30" customHeight="1">
      <c r="B98" s="277"/>
      <c r="C98" s="277"/>
      <c r="D98" s="176" t="s">
        <v>63</v>
      </c>
      <c r="E98" s="131">
        <v>7</v>
      </c>
      <c r="F98" s="202">
        <f>G98/E98</f>
        <v>59210156.571428575</v>
      </c>
      <c r="G98" s="202">
        <f>'11 seats (Hiace)'!T15</f>
        <v>414471096</v>
      </c>
      <c r="H98" s="202">
        <f>I98/E98</f>
        <v>55703968.571428575</v>
      </c>
      <c r="I98" s="202">
        <f>'11 seats (Hiace)'!H45</f>
        <v>389927780</v>
      </c>
      <c r="J98" s="212">
        <f t="shared" si="56"/>
        <v>-24543316</v>
      </c>
      <c r="K98" s="271"/>
      <c r="L98" s="271"/>
      <c r="M98" s="271"/>
    </row>
    <row r="99" spans="2:13" ht="33" customHeight="1">
      <c r="B99" s="277"/>
      <c r="C99" s="277"/>
      <c r="D99" s="162" t="s">
        <v>79</v>
      </c>
      <c r="E99" s="176">
        <v>12</v>
      </c>
      <c r="F99" s="218"/>
      <c r="G99" s="218"/>
      <c r="H99" s="202">
        <v>55697000</v>
      </c>
      <c r="I99" s="202">
        <f>H99*$E$99</f>
        <v>668364000</v>
      </c>
      <c r="J99" s="219"/>
      <c r="K99" s="271"/>
      <c r="L99" s="271"/>
      <c r="M99" s="271"/>
    </row>
    <row r="100" spans="2:13" ht="33" customHeight="1">
      <c r="B100" s="277"/>
      <c r="C100" s="277"/>
      <c r="D100" s="162" t="s">
        <v>80</v>
      </c>
      <c r="E100" s="176">
        <v>12</v>
      </c>
      <c r="F100" s="218"/>
      <c r="G100" s="218"/>
      <c r="H100" s="202">
        <v>51602000</v>
      </c>
      <c r="I100" s="202">
        <f>H100*$E$99</f>
        <v>619224000</v>
      </c>
      <c r="J100" s="219"/>
      <c r="K100" s="271"/>
      <c r="L100" s="271"/>
      <c r="M100" s="271"/>
    </row>
    <row r="101" spans="2:13" ht="33" customHeight="1">
      <c r="B101" s="277"/>
      <c r="C101" s="277"/>
      <c r="D101" s="162" t="s">
        <v>81</v>
      </c>
      <c r="E101" s="176">
        <v>12</v>
      </c>
      <c r="F101" s="218"/>
      <c r="G101" s="218"/>
      <c r="H101" s="202">
        <v>48668000</v>
      </c>
      <c r="I101" s="202">
        <f>H101*$E$99</f>
        <v>584016000</v>
      </c>
      <c r="J101" s="219"/>
      <c r="K101" s="271"/>
      <c r="L101" s="271"/>
      <c r="M101" s="271"/>
    </row>
    <row r="102" spans="2:13" ht="33" customHeight="1">
      <c r="B102" s="277"/>
      <c r="C102" s="277"/>
      <c r="D102" s="162" t="s">
        <v>82</v>
      </c>
      <c r="E102" s="176">
        <v>12</v>
      </c>
      <c r="F102" s="218"/>
      <c r="G102" s="218"/>
      <c r="H102" s="202">
        <v>45531000</v>
      </c>
      <c r="I102" s="202">
        <f>H102*$E$99</f>
        <v>546372000</v>
      </c>
      <c r="J102" s="219"/>
      <c r="K102" s="271"/>
      <c r="L102" s="271"/>
      <c r="M102" s="271"/>
    </row>
    <row r="103" spans="2:13" ht="33" customHeight="1">
      <c r="B103" s="277"/>
      <c r="C103" s="277"/>
      <c r="D103" s="162" t="s">
        <v>83</v>
      </c>
      <c r="E103" s="176" t="s">
        <v>126</v>
      </c>
      <c r="F103" s="218"/>
      <c r="G103" s="218"/>
      <c r="H103" s="202">
        <f>I103/E99</f>
        <v>52182500</v>
      </c>
      <c r="I103" s="202">
        <f>H99*6+H101*6</f>
        <v>626190000</v>
      </c>
      <c r="J103" s="219"/>
      <c r="K103" s="271"/>
      <c r="L103" s="271"/>
      <c r="M103" s="271"/>
    </row>
    <row r="104" spans="2:13" ht="33" customHeight="1">
      <c r="B104" s="277"/>
      <c r="C104" s="277"/>
      <c r="D104" s="162" t="s">
        <v>85</v>
      </c>
      <c r="E104" s="176" t="s">
        <v>126</v>
      </c>
      <c r="F104" s="218"/>
      <c r="G104" s="218"/>
      <c r="H104" s="202">
        <f>I104/E99</f>
        <v>48566500</v>
      </c>
      <c r="I104" s="202">
        <f>H100*6+H102*6</f>
        <v>582798000</v>
      </c>
      <c r="J104" s="219"/>
      <c r="K104" s="271"/>
      <c r="L104" s="271"/>
      <c r="M104" s="271"/>
    </row>
    <row r="105" spans="2:13" ht="33" customHeight="1">
      <c r="B105" s="277"/>
      <c r="C105" s="277"/>
      <c r="D105" s="176" t="s">
        <v>71</v>
      </c>
      <c r="E105" s="176"/>
      <c r="F105" s="202"/>
      <c r="G105" s="202">
        <f t="shared" ref="G105:G110" si="57">$G$97</f>
        <v>956018852</v>
      </c>
      <c r="H105" s="202"/>
      <c r="I105" s="202">
        <f>$I$98+I99</f>
        <v>1058291780</v>
      </c>
      <c r="J105" s="212">
        <f t="shared" ref="J105:J112" si="58">+I105-G105</f>
        <v>102272928</v>
      </c>
      <c r="K105" s="271"/>
      <c r="L105" s="271"/>
      <c r="M105" s="271"/>
    </row>
    <row r="106" spans="2:13" ht="33" customHeight="1">
      <c r="B106" s="277"/>
      <c r="C106" s="277"/>
      <c r="D106" s="176" t="s">
        <v>72</v>
      </c>
      <c r="E106" s="176"/>
      <c r="F106" s="202"/>
      <c r="G106" s="202">
        <f t="shared" si="57"/>
        <v>956018852</v>
      </c>
      <c r="H106" s="202"/>
      <c r="I106" s="202">
        <f t="shared" ref="I106:I110" si="59">$I$98+I100</f>
        <v>1009151780</v>
      </c>
      <c r="J106" s="212">
        <f t="shared" si="58"/>
        <v>53132928</v>
      </c>
      <c r="K106" s="271"/>
      <c r="L106" s="271"/>
      <c r="M106" s="271"/>
    </row>
    <row r="107" spans="2:13" ht="33" customHeight="1">
      <c r="B107" s="277"/>
      <c r="C107" s="277"/>
      <c r="D107" s="176" t="s">
        <v>73</v>
      </c>
      <c r="E107" s="176"/>
      <c r="F107" s="202"/>
      <c r="G107" s="202">
        <f t="shared" si="57"/>
        <v>956018852</v>
      </c>
      <c r="H107" s="202"/>
      <c r="I107" s="202">
        <f t="shared" si="59"/>
        <v>973943780</v>
      </c>
      <c r="J107" s="210">
        <f t="shared" si="58"/>
        <v>17924928</v>
      </c>
      <c r="K107" s="271"/>
      <c r="L107" s="271"/>
      <c r="M107" s="271"/>
    </row>
    <row r="108" spans="2:13" ht="33" customHeight="1">
      <c r="B108" s="277"/>
      <c r="C108" s="277"/>
      <c r="D108" s="176" t="s">
        <v>74</v>
      </c>
      <c r="E108" s="176"/>
      <c r="F108" s="202"/>
      <c r="G108" s="202">
        <f t="shared" si="57"/>
        <v>956018852</v>
      </c>
      <c r="H108" s="202"/>
      <c r="I108" s="202">
        <f t="shared" si="59"/>
        <v>936299780</v>
      </c>
      <c r="J108" s="212">
        <f t="shared" si="58"/>
        <v>-19719072</v>
      </c>
      <c r="K108" s="271"/>
      <c r="L108" s="271"/>
      <c r="M108" s="271"/>
    </row>
    <row r="109" spans="2:13" ht="33" customHeight="1">
      <c r="B109" s="277"/>
      <c r="C109" s="277"/>
      <c r="D109" s="176" t="s">
        <v>75</v>
      </c>
      <c r="E109" s="176"/>
      <c r="F109" s="202"/>
      <c r="G109" s="202">
        <f t="shared" si="57"/>
        <v>956018852</v>
      </c>
      <c r="H109" s="202"/>
      <c r="I109" s="202">
        <f t="shared" si="59"/>
        <v>1016117780</v>
      </c>
      <c r="J109" s="212">
        <f t="shared" si="58"/>
        <v>60098928</v>
      </c>
      <c r="K109" s="271"/>
      <c r="L109" s="271"/>
      <c r="M109" s="271"/>
    </row>
    <row r="110" spans="2:13" ht="33" customHeight="1">
      <c r="B110" s="277"/>
      <c r="C110" s="277"/>
      <c r="D110" s="176" t="s">
        <v>76</v>
      </c>
      <c r="E110" s="176"/>
      <c r="F110" s="202"/>
      <c r="G110" s="202">
        <f t="shared" si="57"/>
        <v>956018852</v>
      </c>
      <c r="H110" s="202"/>
      <c r="I110" s="202">
        <f t="shared" si="59"/>
        <v>972725780</v>
      </c>
      <c r="J110" s="210">
        <f t="shared" si="58"/>
        <v>16706928</v>
      </c>
      <c r="K110" s="271"/>
      <c r="L110" s="271"/>
      <c r="M110" s="271"/>
    </row>
    <row r="111" spans="2:13" ht="32.1" customHeight="1">
      <c r="B111" s="276"/>
      <c r="C111" s="276" t="s">
        <v>86</v>
      </c>
      <c r="D111" s="176" t="s">
        <v>61</v>
      </c>
      <c r="E111" s="131">
        <v>6</v>
      </c>
      <c r="F111" s="202">
        <f>G111/E111</f>
        <v>46126944.666666664</v>
      </c>
      <c r="G111" s="202">
        <f>'11 seats (Hiace)'!K15</f>
        <v>276761668</v>
      </c>
      <c r="H111" s="202">
        <f>I111/E111</f>
        <v>45594701.111111112</v>
      </c>
      <c r="I111" s="202">
        <f>'11 seats (Hiace)'!K30</f>
        <v>273568206.66666669</v>
      </c>
      <c r="J111" s="212">
        <f t="shared" si="58"/>
        <v>-3193461.3333333135</v>
      </c>
      <c r="K111" s="270" t="s">
        <v>28</v>
      </c>
      <c r="L111" s="271"/>
      <c r="M111" s="271"/>
    </row>
    <row r="112" spans="2:13" ht="30" customHeight="1">
      <c r="B112" s="277"/>
      <c r="C112" s="277"/>
      <c r="D112" s="176" t="s">
        <v>63</v>
      </c>
      <c r="E112" s="131">
        <v>2</v>
      </c>
      <c r="F112" s="202">
        <f>G112/E112</f>
        <v>53486241.333333328</v>
      </c>
      <c r="G112" s="202">
        <f>'11 seats (Hiace)'!W15</f>
        <v>106972482.66666666</v>
      </c>
      <c r="H112" s="202">
        <f>I112/E112</f>
        <v>52994303.333333328</v>
      </c>
      <c r="I112" s="202">
        <f>'11 seats (Hiace)'!K45</f>
        <v>105988606.66666666</v>
      </c>
      <c r="J112" s="212">
        <f t="shared" si="58"/>
        <v>-983876</v>
      </c>
      <c r="K112" s="271"/>
      <c r="L112" s="271"/>
      <c r="M112" s="271"/>
    </row>
    <row r="113" spans="2:15" ht="33" customHeight="1">
      <c r="B113" s="277"/>
      <c r="C113" s="277"/>
      <c r="D113" s="162" t="s">
        <v>87</v>
      </c>
      <c r="E113" s="176" t="s">
        <v>127</v>
      </c>
      <c r="F113" s="218"/>
      <c r="G113" s="218"/>
      <c r="H113" s="202">
        <v>55697000</v>
      </c>
      <c r="I113" s="202">
        <f>H113*$E$113</f>
        <v>222788000</v>
      </c>
      <c r="J113" s="219"/>
      <c r="K113" s="271"/>
      <c r="L113" s="271"/>
      <c r="M113" s="271"/>
    </row>
    <row r="114" spans="2:15" ht="33" customHeight="1">
      <c r="B114" s="277"/>
      <c r="C114" s="277"/>
      <c r="D114" s="162" t="s">
        <v>88</v>
      </c>
      <c r="E114" s="176" t="s">
        <v>127</v>
      </c>
      <c r="F114" s="218"/>
      <c r="G114" s="218"/>
      <c r="H114" s="202">
        <v>51602000</v>
      </c>
      <c r="I114" s="202">
        <f>H114*$E$113</f>
        <v>206408000</v>
      </c>
      <c r="J114" s="219"/>
      <c r="K114" s="271"/>
      <c r="L114" s="271"/>
      <c r="M114" s="271"/>
    </row>
    <row r="115" spans="2:15" ht="33" customHeight="1">
      <c r="B115" s="277"/>
      <c r="C115" s="277"/>
      <c r="D115" s="162" t="s">
        <v>89</v>
      </c>
      <c r="E115" s="176" t="s">
        <v>127</v>
      </c>
      <c r="F115" s="218"/>
      <c r="G115" s="218"/>
      <c r="H115" s="202">
        <v>48668000</v>
      </c>
      <c r="I115" s="202">
        <f>H115*$E$113</f>
        <v>194672000</v>
      </c>
      <c r="J115" s="219"/>
      <c r="K115" s="271"/>
      <c r="L115" s="271"/>
      <c r="M115" s="271"/>
    </row>
    <row r="116" spans="2:15" ht="33" customHeight="1">
      <c r="B116" s="277"/>
      <c r="C116" s="277"/>
      <c r="D116" s="162" t="s">
        <v>90</v>
      </c>
      <c r="E116" s="176" t="s">
        <v>127</v>
      </c>
      <c r="F116" s="218"/>
      <c r="G116" s="218"/>
      <c r="H116" s="202">
        <v>45531000</v>
      </c>
      <c r="I116" s="202">
        <f>H116*$E$113</f>
        <v>182124000</v>
      </c>
      <c r="J116" s="219"/>
      <c r="K116" s="271"/>
      <c r="L116" s="271"/>
      <c r="M116" s="271"/>
    </row>
    <row r="117" spans="2:15" ht="33" customHeight="1">
      <c r="B117" s="277"/>
      <c r="C117" s="277"/>
      <c r="D117" s="162" t="s">
        <v>91</v>
      </c>
      <c r="E117" s="176" t="s">
        <v>128</v>
      </c>
      <c r="F117" s="218"/>
      <c r="G117" s="218"/>
      <c r="H117" s="202">
        <f>I117/E113</f>
        <v>52182500</v>
      </c>
      <c r="I117" s="202">
        <f>H113*2+H115*2</f>
        <v>208730000</v>
      </c>
      <c r="J117" s="219"/>
      <c r="K117" s="271"/>
      <c r="L117" s="271"/>
      <c r="M117" s="271"/>
    </row>
    <row r="118" spans="2:15" ht="33" customHeight="1">
      <c r="B118" s="277"/>
      <c r="C118" s="277"/>
      <c r="D118" s="162" t="s">
        <v>93</v>
      </c>
      <c r="E118" s="176" t="s">
        <v>128</v>
      </c>
      <c r="F118" s="218"/>
      <c r="G118" s="218"/>
      <c r="H118" s="202">
        <f>I118/4</f>
        <v>48566500</v>
      </c>
      <c r="I118" s="202">
        <f>H114*2+H116*2</f>
        <v>194266000</v>
      </c>
      <c r="J118" s="219"/>
      <c r="K118" s="271"/>
      <c r="L118" s="271"/>
      <c r="M118" s="271"/>
    </row>
    <row r="119" spans="2:15" ht="33" customHeight="1">
      <c r="B119" s="277"/>
      <c r="C119" s="277"/>
      <c r="D119" s="176" t="s">
        <v>71</v>
      </c>
      <c r="E119" s="176"/>
      <c r="F119" s="202"/>
      <c r="G119" s="202">
        <f t="shared" ref="G119:G124" si="60">$G$111</f>
        <v>276761668</v>
      </c>
      <c r="H119" s="202"/>
      <c r="I119" s="202">
        <f t="shared" ref="I119:I124" si="61">$I$112+I113</f>
        <v>328776606.66666663</v>
      </c>
      <c r="J119" s="212">
        <f t="shared" ref="J119:J127" si="62">+I119-G119</f>
        <v>52014938.666666627</v>
      </c>
      <c r="K119" s="271"/>
      <c r="L119" s="271"/>
      <c r="M119" s="271"/>
    </row>
    <row r="120" spans="2:15" ht="33" customHeight="1">
      <c r="B120" s="277"/>
      <c r="C120" s="277"/>
      <c r="D120" s="176" t="s">
        <v>72</v>
      </c>
      <c r="E120" s="176"/>
      <c r="F120" s="202"/>
      <c r="G120" s="202">
        <f t="shared" si="60"/>
        <v>276761668</v>
      </c>
      <c r="H120" s="202"/>
      <c r="I120" s="202">
        <f t="shared" si="61"/>
        <v>312396606.66666663</v>
      </c>
      <c r="J120" s="212">
        <f t="shared" si="62"/>
        <v>35634938.666666627</v>
      </c>
      <c r="K120" s="271"/>
      <c r="L120" s="271"/>
      <c r="M120" s="271"/>
    </row>
    <row r="121" spans="2:15" ht="33" customHeight="1">
      <c r="B121" s="277"/>
      <c r="C121" s="277"/>
      <c r="D121" s="176" t="s">
        <v>73</v>
      </c>
      <c r="E121" s="176"/>
      <c r="F121" s="202"/>
      <c r="G121" s="202">
        <f t="shared" si="60"/>
        <v>276761668</v>
      </c>
      <c r="H121" s="202"/>
      <c r="I121" s="202">
        <f t="shared" si="61"/>
        <v>300660606.66666663</v>
      </c>
      <c r="J121" s="210">
        <f t="shared" si="62"/>
        <v>23898938.666666627</v>
      </c>
      <c r="K121" s="271"/>
      <c r="L121" s="271"/>
      <c r="M121" s="271"/>
    </row>
    <row r="122" spans="2:15" ht="33" customHeight="1">
      <c r="B122" s="277"/>
      <c r="C122" s="277"/>
      <c r="D122" s="176" t="s">
        <v>74</v>
      </c>
      <c r="E122" s="176"/>
      <c r="F122" s="202"/>
      <c r="G122" s="202">
        <f t="shared" si="60"/>
        <v>276761668</v>
      </c>
      <c r="H122" s="202"/>
      <c r="I122" s="202">
        <f t="shared" si="61"/>
        <v>288112606.66666663</v>
      </c>
      <c r="J122" s="212">
        <f t="shared" si="62"/>
        <v>11350938.666666627</v>
      </c>
      <c r="K122" s="271"/>
      <c r="L122" s="271"/>
      <c r="M122" s="271"/>
    </row>
    <row r="123" spans="2:15" ht="33" customHeight="1">
      <c r="B123" s="277"/>
      <c r="C123" s="277"/>
      <c r="D123" s="176" t="s">
        <v>75</v>
      </c>
      <c r="E123" s="176"/>
      <c r="F123" s="202"/>
      <c r="G123" s="202">
        <f t="shared" si="60"/>
        <v>276761668</v>
      </c>
      <c r="H123" s="202"/>
      <c r="I123" s="202">
        <f t="shared" si="61"/>
        <v>314718606.66666663</v>
      </c>
      <c r="J123" s="212">
        <f t="shared" si="62"/>
        <v>37956938.666666627</v>
      </c>
      <c r="K123" s="271"/>
      <c r="L123" s="271"/>
      <c r="M123" s="271"/>
    </row>
    <row r="124" spans="2:15" ht="33" customHeight="1">
      <c r="B124" s="277"/>
      <c r="C124" s="277"/>
      <c r="D124" s="176" t="s">
        <v>76</v>
      </c>
      <c r="E124" s="176"/>
      <c r="F124" s="202"/>
      <c r="G124" s="202">
        <f t="shared" si="60"/>
        <v>276761668</v>
      </c>
      <c r="H124" s="202"/>
      <c r="I124" s="202">
        <f t="shared" si="61"/>
        <v>300254606.66666663</v>
      </c>
      <c r="J124" s="210">
        <f t="shared" si="62"/>
        <v>23492938.666666627</v>
      </c>
      <c r="K124" s="271"/>
      <c r="L124" s="271"/>
      <c r="M124" s="271"/>
    </row>
    <row r="125" spans="2:15" ht="33" customHeight="1">
      <c r="B125" s="277"/>
      <c r="C125" s="276" t="s">
        <v>94</v>
      </c>
      <c r="D125" s="176" t="s">
        <v>10</v>
      </c>
      <c r="E125" s="131">
        <v>2</v>
      </c>
      <c r="F125" s="202">
        <f>G125/E125</f>
        <v>42076167</v>
      </c>
      <c r="G125" s="202">
        <f>'11 seats (Hiace)'!E89</f>
        <v>84152334</v>
      </c>
      <c r="H125" s="202">
        <f>I125/E125</f>
        <v>41360200</v>
      </c>
      <c r="I125" s="202">
        <f>'11 seats (Hiace)'!E133</f>
        <v>82720400</v>
      </c>
      <c r="J125" s="212">
        <f t="shared" si="62"/>
        <v>-1431934</v>
      </c>
      <c r="K125" s="271"/>
      <c r="L125" s="271"/>
      <c r="M125" s="271"/>
    </row>
    <row r="126" spans="2:15" ht="33" customHeight="1">
      <c r="B126" s="277"/>
      <c r="C126" s="277"/>
      <c r="D126" s="176" t="s">
        <v>15</v>
      </c>
      <c r="E126" s="131">
        <v>1</v>
      </c>
      <c r="F126" s="202">
        <f>'11 seats (Hiace)'!H89</f>
        <v>65468368</v>
      </c>
      <c r="G126" s="202">
        <f>+F126*E126</f>
        <v>65468368</v>
      </c>
      <c r="H126" s="202">
        <f>'11 seats (Hiace)'!N133</f>
        <v>53725600</v>
      </c>
      <c r="I126" s="202">
        <f>+H126*E126</f>
        <v>53725600</v>
      </c>
      <c r="J126" s="212">
        <f t="shared" si="62"/>
        <v>-11742768</v>
      </c>
      <c r="K126" s="271"/>
      <c r="L126" s="271"/>
      <c r="M126" s="271"/>
    </row>
    <row r="127" spans="2:15" ht="33" customHeight="1">
      <c r="B127" s="277"/>
      <c r="C127" s="278"/>
      <c r="D127" s="176" t="s">
        <v>17</v>
      </c>
      <c r="E127" s="131">
        <v>1</v>
      </c>
      <c r="F127" s="202">
        <f>'11 seats (Hiace)'!K89</f>
        <v>65021968</v>
      </c>
      <c r="G127" s="202">
        <f>+F127*E127</f>
        <v>65021968</v>
      </c>
      <c r="H127" s="202">
        <f>'11 seats (Hiace)'!Q133</f>
        <v>54874000</v>
      </c>
      <c r="I127" s="202">
        <f>+H127*E127</f>
        <v>54874000</v>
      </c>
      <c r="J127" s="212">
        <f t="shared" si="62"/>
        <v>-10147968</v>
      </c>
      <c r="K127" s="271"/>
      <c r="L127" s="271"/>
      <c r="M127" s="271"/>
    </row>
    <row r="128" spans="2:15" ht="33" customHeight="1">
      <c r="B128" s="278"/>
      <c r="C128" s="162"/>
      <c r="D128" s="194" t="s">
        <v>48</v>
      </c>
      <c r="E128" s="178">
        <f t="shared" ref="E128:J128" si="63">SUM(E85:E127)</f>
        <v>118</v>
      </c>
      <c r="F128" s="214">
        <f t="shared" si="63"/>
        <v>381706627.25563908</v>
      </c>
      <c r="G128" s="214">
        <f t="shared" si="63"/>
        <v>14116628873.452379</v>
      </c>
      <c r="H128" s="214">
        <f t="shared" si="63"/>
        <v>1240705908.805347</v>
      </c>
      <c r="I128" s="214">
        <f t="shared" si="63"/>
        <v>21781258560.119057</v>
      </c>
      <c r="J128" s="217">
        <f t="shared" si="63"/>
        <v>548653686.66666639</v>
      </c>
      <c r="K128" s="273"/>
      <c r="L128" s="273"/>
      <c r="M128" s="273"/>
      <c r="O128" s="21"/>
    </row>
    <row r="131" spans="2:11" ht="23.1" customHeight="1">
      <c r="B131" s="312" t="s">
        <v>136</v>
      </c>
      <c r="C131" s="313"/>
      <c r="D131" s="201" t="s">
        <v>97</v>
      </c>
      <c r="E131" s="201" t="s">
        <v>98</v>
      </c>
      <c r="F131" s="201" t="s">
        <v>99</v>
      </c>
      <c r="G131" s="201" t="s">
        <v>100</v>
      </c>
      <c r="H131" s="201" t="s">
        <v>101</v>
      </c>
      <c r="I131" s="201" t="s">
        <v>102</v>
      </c>
      <c r="J131" s="201" t="s">
        <v>103</v>
      </c>
      <c r="K131" s="201" t="s">
        <v>117</v>
      </c>
    </row>
    <row r="132" spans="2:11" ht="57.95" customHeight="1">
      <c r="B132" s="313"/>
      <c r="C132" s="313"/>
      <c r="D132" s="229" t="s">
        <v>113</v>
      </c>
      <c r="E132" s="222" t="s">
        <v>130</v>
      </c>
      <c r="F132" s="222" t="s">
        <v>131</v>
      </c>
      <c r="G132" s="222" t="s">
        <v>132</v>
      </c>
      <c r="H132" s="223" t="s">
        <v>133</v>
      </c>
      <c r="I132" s="222" t="s">
        <v>114</v>
      </c>
      <c r="J132" s="221" t="s">
        <v>115</v>
      </c>
      <c r="K132" s="222" t="s">
        <v>116</v>
      </c>
    </row>
    <row r="133" spans="2:11" s="161" customFormat="1" ht="23.1" customHeight="1">
      <c r="B133" s="283" t="s">
        <v>10</v>
      </c>
      <c r="C133" s="224" t="s">
        <v>3</v>
      </c>
      <c r="D133" s="225">
        <f>$G$50+$G$51+$G$59+$G$83+$G$125</f>
        <v>1345458283.4642859</v>
      </c>
      <c r="E133" s="225">
        <f t="shared" ref="E133:K133" si="64">$D$133</f>
        <v>1345458283.4642859</v>
      </c>
      <c r="F133" s="225">
        <f t="shared" si="64"/>
        <v>1345458283.4642859</v>
      </c>
      <c r="G133" s="225">
        <f t="shared" si="64"/>
        <v>1345458283.4642859</v>
      </c>
      <c r="H133" s="225">
        <f t="shared" si="64"/>
        <v>1345458283.4642859</v>
      </c>
      <c r="I133" s="225">
        <f t="shared" si="64"/>
        <v>1345458283.4642859</v>
      </c>
      <c r="J133" s="225">
        <f t="shared" si="64"/>
        <v>1345458283.4642859</v>
      </c>
      <c r="K133" s="231">
        <f t="shared" si="64"/>
        <v>1345458283.4642859</v>
      </c>
    </row>
    <row r="134" spans="2:11" s="161" customFormat="1" ht="23.1" customHeight="1">
      <c r="B134" s="283"/>
      <c r="C134" s="226" t="s">
        <v>42</v>
      </c>
      <c r="D134" s="225">
        <f>$I$50+$I$51+$I$59+$I$83+$I$125</f>
        <v>1304533314.4642859</v>
      </c>
      <c r="E134" s="225">
        <f>$I$50+$I$51+$I$59+$I91+$I$125</f>
        <v>1431372514.4642859</v>
      </c>
      <c r="F134" s="225">
        <f>$I$50+$I$51+$I$59+I92+$I$125</f>
        <v>1398612514.4642859</v>
      </c>
      <c r="G134" s="225">
        <f>$I$50+$I$51+$I$59+I93+$I$125</f>
        <v>1375140514.4642859</v>
      </c>
      <c r="H134" s="225">
        <f>$I$50+$I$51+$I$59+I94+$I$125</f>
        <v>1350044514.4642859</v>
      </c>
      <c r="I134" s="225">
        <f>$I$50+$I$51+$I$59+I95+$I$125</f>
        <v>1403256514.4642859</v>
      </c>
      <c r="J134" s="225">
        <f>$I$50+$I$51+$I$59+I96+$I$125</f>
        <v>1374328514.4642859</v>
      </c>
      <c r="K134" s="231">
        <f>D134</f>
        <v>1304533314.4642859</v>
      </c>
    </row>
    <row r="135" spans="2:11" s="161" customFormat="1" ht="23.1" customHeight="1">
      <c r="B135" s="283"/>
      <c r="C135" s="227" t="s">
        <v>43</v>
      </c>
      <c r="D135" s="228">
        <f t="shared" ref="D135:K135" si="65">D134-D133</f>
        <v>-40924969</v>
      </c>
      <c r="E135" s="228">
        <f t="shared" si="65"/>
        <v>85914231</v>
      </c>
      <c r="F135" s="228">
        <f t="shared" si="65"/>
        <v>53154231</v>
      </c>
      <c r="G135" s="228">
        <f t="shared" si="65"/>
        <v>29682231</v>
      </c>
      <c r="H135" s="228">
        <f t="shared" si="65"/>
        <v>4586231</v>
      </c>
      <c r="I135" s="228">
        <f t="shared" si="65"/>
        <v>57798231</v>
      </c>
      <c r="J135" s="228">
        <f t="shared" si="65"/>
        <v>28870231</v>
      </c>
      <c r="K135" s="232">
        <f t="shared" si="65"/>
        <v>-40924969</v>
      </c>
    </row>
    <row r="136" spans="2:11" s="205" customFormat="1" ht="35.1" customHeight="1">
      <c r="B136" s="284"/>
      <c r="C136" s="132" t="s">
        <v>8</v>
      </c>
      <c r="D136" s="131" t="s">
        <v>137</v>
      </c>
      <c r="E136" s="306" t="s">
        <v>138</v>
      </c>
      <c r="F136" s="307"/>
      <c r="G136" s="306" t="s">
        <v>139</v>
      </c>
      <c r="H136" s="307"/>
      <c r="I136" s="308" t="s">
        <v>140</v>
      </c>
      <c r="J136" s="309"/>
      <c r="K136" s="233" t="s">
        <v>141</v>
      </c>
    </row>
    <row r="137" spans="2:11" s="161" customFormat="1" ht="23.1" customHeight="1">
      <c r="B137" s="282" t="s">
        <v>15</v>
      </c>
      <c r="C137" s="226" t="s">
        <v>3</v>
      </c>
      <c r="D137" s="225">
        <f>$G$56+$G$60+$G$63+$G$97+$G$126</f>
        <v>1335895977</v>
      </c>
      <c r="E137" s="225">
        <f t="shared" ref="E137:K137" si="66">$D$137</f>
        <v>1335895977</v>
      </c>
      <c r="F137" s="225">
        <f t="shared" si="66"/>
        <v>1335895977</v>
      </c>
      <c r="G137" s="225">
        <f t="shared" si="66"/>
        <v>1335895977</v>
      </c>
      <c r="H137" s="225">
        <f t="shared" si="66"/>
        <v>1335895977</v>
      </c>
      <c r="I137" s="225">
        <f t="shared" si="66"/>
        <v>1335895977</v>
      </c>
      <c r="J137" s="225">
        <f t="shared" si="66"/>
        <v>1335895977</v>
      </c>
      <c r="K137" s="231">
        <f t="shared" si="66"/>
        <v>1335895977</v>
      </c>
    </row>
    <row r="138" spans="2:11" s="161" customFormat="1" ht="23.1" customHeight="1">
      <c r="B138" s="283"/>
      <c r="C138" s="226" t="s">
        <v>42</v>
      </c>
      <c r="D138" s="225">
        <f>$I$52+$I$60+$I$63+I97+$I$126</f>
        <v>1287139740</v>
      </c>
      <c r="E138" s="225">
        <f>$I$52+$I$60+$I$63+I105+$I$126</f>
        <v>1453264940</v>
      </c>
      <c r="F138" s="225">
        <f>$I$52+$I$60+$I$63+I106+$I$126</f>
        <v>1404124940</v>
      </c>
      <c r="G138" s="225">
        <f>$I$52+$I$60+$I$63+I107+$I$126</f>
        <v>1368916940</v>
      </c>
      <c r="H138" s="225">
        <f>$I$52+$I$60+$I$63+I108+$I$126</f>
        <v>1331272940</v>
      </c>
      <c r="I138" s="225">
        <f>$I$52+$I$60+$I$63+I109+$I$126</f>
        <v>1411090940</v>
      </c>
      <c r="J138" s="225">
        <f>$I$52+$I$60+$I$63+I110+$I$126</f>
        <v>1367698940</v>
      </c>
      <c r="K138" s="231">
        <f>'Total (2)'!J168</f>
        <v>1071999940</v>
      </c>
    </row>
    <row r="139" spans="2:11" s="161" customFormat="1" ht="23.1" customHeight="1">
      <c r="B139" s="283"/>
      <c r="C139" s="227" t="s">
        <v>43</v>
      </c>
      <c r="D139" s="228">
        <f t="shared" ref="D139:K139" si="67">D138-D137</f>
        <v>-48756237</v>
      </c>
      <c r="E139" s="228">
        <f t="shared" si="67"/>
        <v>117368963</v>
      </c>
      <c r="F139" s="228">
        <f t="shared" si="67"/>
        <v>68228963</v>
      </c>
      <c r="G139" s="228">
        <f t="shared" si="67"/>
        <v>33020963</v>
      </c>
      <c r="H139" s="228">
        <f t="shared" si="67"/>
        <v>-4623037</v>
      </c>
      <c r="I139" s="228">
        <f t="shared" si="67"/>
        <v>75194963</v>
      </c>
      <c r="J139" s="228">
        <f t="shared" si="67"/>
        <v>31802963</v>
      </c>
      <c r="K139" s="232">
        <f t="shared" si="67"/>
        <v>-263896037</v>
      </c>
    </row>
    <row r="140" spans="2:11" s="161" customFormat="1" ht="39" customHeight="1">
      <c r="B140" s="284"/>
      <c r="C140" s="226" t="s">
        <v>8</v>
      </c>
      <c r="D140" s="131" t="s">
        <v>113</v>
      </c>
      <c r="E140" s="306" t="s">
        <v>142</v>
      </c>
      <c r="F140" s="307"/>
      <c r="G140" s="306" t="s">
        <v>143</v>
      </c>
      <c r="H140" s="307"/>
      <c r="I140" s="310" t="s">
        <v>144</v>
      </c>
      <c r="J140" s="311"/>
      <c r="K140" s="190" t="s">
        <v>145</v>
      </c>
    </row>
    <row r="141" spans="2:11" s="161" customFormat="1" ht="23.1" customHeight="1">
      <c r="B141" s="282" t="s">
        <v>17</v>
      </c>
      <c r="C141" s="226" t="s">
        <v>3</v>
      </c>
      <c r="D141" s="225">
        <f>$G$53+$G$61+$G$62+$G$111+$G$127</f>
        <v>651761479</v>
      </c>
      <c r="E141" s="225">
        <f t="shared" ref="E141:K141" si="68">$D$141</f>
        <v>651761479</v>
      </c>
      <c r="F141" s="225">
        <f t="shared" si="68"/>
        <v>651761479</v>
      </c>
      <c r="G141" s="225">
        <f t="shared" si="68"/>
        <v>651761479</v>
      </c>
      <c r="H141" s="225">
        <f t="shared" si="68"/>
        <v>651761479</v>
      </c>
      <c r="I141" s="225">
        <f t="shared" si="68"/>
        <v>651761479</v>
      </c>
      <c r="J141" s="225">
        <f t="shared" si="68"/>
        <v>651761479</v>
      </c>
      <c r="K141" s="231">
        <f t="shared" si="68"/>
        <v>651761479</v>
      </c>
    </row>
    <row r="142" spans="2:11" s="161" customFormat="1" ht="23.1" customHeight="1">
      <c r="B142" s="283"/>
      <c r="C142" s="226" t="s">
        <v>42</v>
      </c>
      <c r="D142" s="225">
        <f>$I$53+$I$61+$I$62+I111+$I$127</f>
        <v>657469468</v>
      </c>
      <c r="E142" s="225">
        <f>$I$53+$I$61+$I$62+I119+$I$127</f>
        <v>712677868</v>
      </c>
      <c r="F142" s="225">
        <f>$I$53+$I$61+$I$62+I120+$I$127</f>
        <v>696297868</v>
      </c>
      <c r="G142" s="225">
        <f>$I$53+$I$61+$I$62+I121+$I$127</f>
        <v>684561868</v>
      </c>
      <c r="H142" s="225">
        <f>$I$53+$I$61+$I$62+I122+$I$127</f>
        <v>672013868</v>
      </c>
      <c r="I142" s="225">
        <f>$I$53+$I$61+$I$62+I123+$I$127</f>
        <v>698619868</v>
      </c>
      <c r="J142" s="225">
        <f>$I$53+$I$61+$I$62+I124+$I$127</f>
        <v>684155868</v>
      </c>
      <c r="K142" s="231">
        <f>'Total (2)'!J171</f>
        <v>631283868</v>
      </c>
    </row>
    <row r="143" spans="2:11" s="161" customFormat="1" ht="23.1" customHeight="1">
      <c r="B143" s="283"/>
      <c r="C143" s="227" t="s">
        <v>43</v>
      </c>
      <c r="D143" s="228">
        <f t="shared" ref="D143:K143" si="69">D142-D141</f>
        <v>5707989</v>
      </c>
      <c r="E143" s="228">
        <f t="shared" si="69"/>
        <v>60916389</v>
      </c>
      <c r="F143" s="228">
        <f t="shared" si="69"/>
        <v>44536389</v>
      </c>
      <c r="G143" s="228">
        <f t="shared" si="69"/>
        <v>32800389</v>
      </c>
      <c r="H143" s="228">
        <f t="shared" si="69"/>
        <v>20252389</v>
      </c>
      <c r="I143" s="228">
        <f t="shared" si="69"/>
        <v>46858389</v>
      </c>
      <c r="J143" s="228">
        <f t="shared" si="69"/>
        <v>32394389</v>
      </c>
      <c r="K143" s="232">
        <f t="shared" si="69"/>
        <v>-20477611</v>
      </c>
    </row>
    <row r="144" spans="2:11" s="161" customFormat="1" ht="38.1" customHeight="1">
      <c r="B144" s="284"/>
      <c r="C144" s="226" t="s">
        <v>8</v>
      </c>
      <c r="D144" s="131" t="s">
        <v>113</v>
      </c>
      <c r="E144" s="310" t="s">
        <v>146</v>
      </c>
      <c r="F144" s="311"/>
      <c r="G144" s="310" t="s">
        <v>147</v>
      </c>
      <c r="H144" s="311"/>
      <c r="I144" s="310" t="s">
        <v>148</v>
      </c>
      <c r="J144" s="311"/>
      <c r="K144" s="190" t="s">
        <v>149</v>
      </c>
    </row>
    <row r="145" spans="2:11" s="161" customFormat="1" ht="23.1" customHeight="1">
      <c r="B145" s="282" t="s">
        <v>111</v>
      </c>
      <c r="C145" s="226" t="s">
        <v>3</v>
      </c>
      <c r="D145" s="225">
        <f>$D$133+$D$137+$D$141</f>
        <v>3333115739.4642859</v>
      </c>
      <c r="E145" s="225">
        <f t="shared" ref="E145:K145" si="70">E133+E137+E141</f>
        <v>3333115739.4642859</v>
      </c>
      <c r="F145" s="225">
        <f t="shared" si="70"/>
        <v>3333115739.4642859</v>
      </c>
      <c r="G145" s="225">
        <f t="shared" si="70"/>
        <v>3333115739.4642859</v>
      </c>
      <c r="H145" s="225">
        <f t="shared" si="70"/>
        <v>3333115739.4642859</v>
      </c>
      <c r="I145" s="225">
        <f t="shared" si="70"/>
        <v>3333115739.4642859</v>
      </c>
      <c r="J145" s="225">
        <f t="shared" si="70"/>
        <v>3333115739.4642859</v>
      </c>
      <c r="K145" s="231">
        <f t="shared" si="70"/>
        <v>3333115739.4642859</v>
      </c>
    </row>
    <row r="146" spans="2:11" s="161" customFormat="1" ht="23.1" customHeight="1">
      <c r="B146" s="283"/>
      <c r="C146" s="226" t="s">
        <v>42</v>
      </c>
      <c r="D146" s="225">
        <f>$D$134+$D$138+$D$142</f>
        <v>3249142522.4642859</v>
      </c>
      <c r="E146" s="225">
        <f t="shared" ref="E146:K146" si="71">E134+E138+E142</f>
        <v>3597315322.4642859</v>
      </c>
      <c r="F146" s="225">
        <f t="shared" si="71"/>
        <v>3499035322.4642859</v>
      </c>
      <c r="G146" s="225">
        <f t="shared" si="71"/>
        <v>3428619322.4642859</v>
      </c>
      <c r="H146" s="225">
        <f t="shared" si="71"/>
        <v>3353331322.4642859</v>
      </c>
      <c r="I146" s="225">
        <f t="shared" si="71"/>
        <v>3512967322.4642859</v>
      </c>
      <c r="J146" s="225">
        <f t="shared" si="71"/>
        <v>3426183322.4642859</v>
      </c>
      <c r="K146" s="231">
        <f t="shared" si="71"/>
        <v>3007817122.4642859</v>
      </c>
    </row>
    <row r="147" spans="2:11" s="161" customFormat="1" ht="23.1" customHeight="1">
      <c r="B147" s="283"/>
      <c r="C147" s="227" t="s">
        <v>43</v>
      </c>
      <c r="D147" s="228">
        <f t="shared" ref="D147:K147" si="72">D146-D145</f>
        <v>-83973217</v>
      </c>
      <c r="E147" s="228">
        <f t="shared" si="72"/>
        <v>264199583</v>
      </c>
      <c r="F147" s="228">
        <f t="shared" si="72"/>
        <v>165919583</v>
      </c>
      <c r="G147" s="228">
        <f t="shared" si="72"/>
        <v>95503583</v>
      </c>
      <c r="H147" s="228">
        <f t="shared" si="72"/>
        <v>20215583</v>
      </c>
      <c r="I147" s="228">
        <f t="shared" si="72"/>
        <v>179851583</v>
      </c>
      <c r="J147" s="228">
        <f t="shared" si="72"/>
        <v>93067583</v>
      </c>
      <c r="K147" s="232">
        <f t="shared" si="72"/>
        <v>-325298617</v>
      </c>
    </row>
    <row r="148" spans="2:11" s="161" customFormat="1" ht="23.1" customHeight="1">
      <c r="B148" s="284"/>
      <c r="C148" s="226" t="s">
        <v>8</v>
      </c>
      <c r="D148" s="131"/>
      <c r="E148" s="226"/>
      <c r="F148" s="226"/>
      <c r="G148" s="226"/>
      <c r="H148" s="226"/>
      <c r="I148" s="226"/>
      <c r="J148" s="226"/>
      <c r="K148" s="234"/>
    </row>
    <row r="149" spans="2:11">
      <c r="K149" s="195"/>
    </row>
    <row r="150" spans="2:11">
      <c r="D150" s="21">
        <f>D147/23000</f>
        <v>-3651.0094347826089</v>
      </c>
      <c r="E150" s="133">
        <f>E147/23000</f>
        <v>11486.938391304348</v>
      </c>
      <c r="F150" s="21">
        <f t="shared" ref="F150:K150" si="73">F147/23000</f>
        <v>7213.8949130434785</v>
      </c>
      <c r="G150" s="21">
        <f t="shared" si="73"/>
        <v>4152.3296956521735</v>
      </c>
      <c r="H150" s="21">
        <f t="shared" si="73"/>
        <v>878.93839130434787</v>
      </c>
      <c r="I150" s="21">
        <f t="shared" si="73"/>
        <v>7819.6340434782605</v>
      </c>
      <c r="J150" s="21">
        <f t="shared" si="73"/>
        <v>4046.416652173913</v>
      </c>
      <c r="K150" s="235">
        <f t="shared" si="73"/>
        <v>-14143.418130434782</v>
      </c>
    </row>
    <row r="151" spans="2:11">
      <c r="D151" s="21"/>
      <c r="K151" s="195"/>
    </row>
    <row r="152" spans="2:11">
      <c r="K152" s="195"/>
    </row>
    <row r="153" spans="2:11" ht="23.1" customHeight="1">
      <c r="B153" s="314" t="s">
        <v>150</v>
      </c>
      <c r="C153" s="314"/>
      <c r="D153" s="201" t="s">
        <v>97</v>
      </c>
      <c r="E153" s="201" t="s">
        <v>98</v>
      </c>
      <c r="F153" s="201" t="s">
        <v>99</v>
      </c>
      <c r="G153" s="201" t="s">
        <v>100</v>
      </c>
      <c r="H153" s="201" t="s">
        <v>101</v>
      </c>
      <c r="I153" s="201" t="s">
        <v>102</v>
      </c>
      <c r="J153" s="201" t="s">
        <v>103</v>
      </c>
      <c r="K153" s="201" t="s">
        <v>117</v>
      </c>
    </row>
    <row r="154" spans="2:11" ht="65.25" customHeight="1">
      <c r="B154" s="314"/>
      <c r="C154" s="314"/>
      <c r="D154" s="229" t="s">
        <v>113</v>
      </c>
      <c r="E154" s="222" t="s">
        <v>130</v>
      </c>
      <c r="F154" s="222" t="s">
        <v>131</v>
      </c>
      <c r="G154" s="222" t="s">
        <v>132</v>
      </c>
      <c r="H154" s="223" t="s">
        <v>133</v>
      </c>
      <c r="I154" s="222" t="s">
        <v>114</v>
      </c>
      <c r="J154" s="223" t="s">
        <v>115</v>
      </c>
      <c r="K154" s="222" t="s">
        <v>116</v>
      </c>
    </row>
    <row r="155" spans="2:11" s="161" customFormat="1" ht="23.1" customHeight="1">
      <c r="B155" s="282" t="s">
        <v>10</v>
      </c>
      <c r="C155" s="226" t="s">
        <v>3</v>
      </c>
      <c r="D155" s="225">
        <f>$G$50+$G$51+$G$59+$G$83+$G$125</f>
        <v>1345458283.4642859</v>
      </c>
      <c r="E155" s="225">
        <f t="shared" ref="E155:K155" si="74">$D$133</f>
        <v>1345458283.4642859</v>
      </c>
      <c r="F155" s="225">
        <f t="shared" si="74"/>
        <v>1345458283.4642859</v>
      </c>
      <c r="G155" s="225">
        <f t="shared" si="74"/>
        <v>1345458283.4642859</v>
      </c>
      <c r="H155" s="225">
        <f t="shared" si="74"/>
        <v>1345458283.4642859</v>
      </c>
      <c r="I155" s="225">
        <f t="shared" si="74"/>
        <v>1345458283.4642859</v>
      </c>
      <c r="J155" s="225">
        <f t="shared" si="74"/>
        <v>1345458283.4642859</v>
      </c>
      <c r="K155" s="231">
        <f t="shared" si="74"/>
        <v>1345458283.4642859</v>
      </c>
    </row>
    <row r="156" spans="2:11" s="161" customFormat="1" ht="23.1" customHeight="1">
      <c r="B156" s="283"/>
      <c r="C156" s="226" t="s">
        <v>42</v>
      </c>
      <c r="D156" s="225">
        <f>$I$50+$I$51+I77+$I$83+$I$125</f>
        <v>1271252878.4642859</v>
      </c>
      <c r="E156" s="225">
        <f>$I$50+$I$51+$I$77+I91+$I$125</f>
        <v>1398092078.4642859</v>
      </c>
      <c r="F156" s="225">
        <f>$I$50+$I$51+$I$77+I92+$I$125</f>
        <v>1365332078.4642859</v>
      </c>
      <c r="G156" s="225">
        <f>$I$50+$I$51+$I$77+I93+$I$125</f>
        <v>1341860078.4642859</v>
      </c>
      <c r="H156" s="225">
        <f>$I$50+$I$51+$I$77+I94+$I$125</f>
        <v>1316764078.4642859</v>
      </c>
      <c r="I156" s="225">
        <f>$I$50+$I$51+$I$77+I95+$I$125</f>
        <v>1369976078.4642859</v>
      </c>
      <c r="J156" s="225">
        <f>$I$50+$I$51+$I$77+I96+$I$125</f>
        <v>1341048078.4642859</v>
      </c>
      <c r="K156" s="231">
        <f>D156</f>
        <v>1271252878.4642859</v>
      </c>
    </row>
    <row r="157" spans="2:11" s="161" customFormat="1" ht="23.1" customHeight="1">
      <c r="B157" s="283"/>
      <c r="C157" s="226" t="s">
        <v>43</v>
      </c>
      <c r="D157" s="225">
        <f t="shared" ref="D157:K157" si="75">D156-D155</f>
        <v>-74205405</v>
      </c>
      <c r="E157" s="225">
        <f t="shared" si="75"/>
        <v>52633795</v>
      </c>
      <c r="F157" s="225">
        <f t="shared" si="75"/>
        <v>19873795</v>
      </c>
      <c r="G157" s="225">
        <f t="shared" si="75"/>
        <v>-3598205</v>
      </c>
      <c r="H157" s="225">
        <f t="shared" si="75"/>
        <v>-28694205</v>
      </c>
      <c r="I157" s="225">
        <f t="shared" si="75"/>
        <v>24517795</v>
      </c>
      <c r="J157" s="225">
        <f t="shared" si="75"/>
        <v>-4410205</v>
      </c>
      <c r="K157" s="231">
        <f t="shared" si="75"/>
        <v>-74205405</v>
      </c>
    </row>
    <row r="158" spans="2:11" s="161" customFormat="1" ht="23.1" customHeight="1">
      <c r="B158" s="284"/>
      <c r="C158" s="226" t="s">
        <v>8</v>
      </c>
      <c r="D158" s="226"/>
      <c r="E158" s="226"/>
      <c r="F158" s="226"/>
      <c r="G158" s="226"/>
      <c r="H158" s="226"/>
      <c r="I158" s="226"/>
      <c r="J158" s="226"/>
      <c r="K158" s="234"/>
    </row>
    <row r="159" spans="2:11" s="161" customFormat="1" ht="23.1" customHeight="1">
      <c r="B159" s="282" t="s">
        <v>15</v>
      </c>
      <c r="C159" s="226" t="s">
        <v>3</v>
      </c>
      <c r="D159" s="225">
        <f>$G$56+$G$60+$G$63+$G$97+$G$126</f>
        <v>1335895977</v>
      </c>
      <c r="E159" s="225">
        <f t="shared" ref="E159:K159" si="76">$D$137</f>
        <v>1335895977</v>
      </c>
      <c r="F159" s="225">
        <f t="shared" si="76"/>
        <v>1335895977</v>
      </c>
      <c r="G159" s="225">
        <f t="shared" si="76"/>
        <v>1335895977</v>
      </c>
      <c r="H159" s="225">
        <f t="shared" si="76"/>
        <v>1335895977</v>
      </c>
      <c r="I159" s="225">
        <f t="shared" si="76"/>
        <v>1335895977</v>
      </c>
      <c r="J159" s="225">
        <f t="shared" si="76"/>
        <v>1335895977</v>
      </c>
      <c r="K159" s="231">
        <f t="shared" si="76"/>
        <v>1335895977</v>
      </c>
    </row>
    <row r="160" spans="2:11" s="161" customFormat="1" ht="23.1" customHeight="1">
      <c r="B160" s="283"/>
      <c r="C160" s="226" t="s">
        <v>42</v>
      </c>
      <c r="D160" s="225">
        <f>$I$52+$I$78+$I$81+I97+$I$126</f>
        <v>1266868531.9682541</v>
      </c>
      <c r="E160" s="225">
        <f>$I$52+$I$78+$I$81+I105+$I$126</f>
        <v>1432993731.9682541</v>
      </c>
      <c r="F160" s="225">
        <f>$I$52+$I$78+$I$81+I106+$I$126</f>
        <v>1383853731.9682541</v>
      </c>
      <c r="G160" s="225">
        <f>$I$52+$I$78+$I$81+I107+$I$126</f>
        <v>1348645731.9682541</v>
      </c>
      <c r="H160" s="225">
        <f>$I$52+$I$78+$I$81+I108+$I$126</f>
        <v>1311001731.9682541</v>
      </c>
      <c r="I160" s="225">
        <f>$I$52+$I$78+$I$81+I109+$I$126</f>
        <v>1390819731.9682541</v>
      </c>
      <c r="J160" s="225">
        <f>$I$52+$I$78+$I$81+I110+$I$126</f>
        <v>1347427731.9682541</v>
      </c>
      <c r="K160" s="231">
        <f>'Total (2)'!J185</f>
        <v>1051728731.968254</v>
      </c>
    </row>
    <row r="161" spans="2:11" s="161" customFormat="1" ht="23.1" customHeight="1">
      <c r="B161" s="283"/>
      <c r="C161" s="226" t="s">
        <v>43</v>
      </c>
      <c r="D161" s="225">
        <f t="shared" ref="D161:K161" si="77">D160-D159</f>
        <v>-69027445.031745911</v>
      </c>
      <c r="E161" s="225">
        <f t="shared" si="77"/>
        <v>97097754.968254089</v>
      </c>
      <c r="F161" s="225">
        <f t="shared" si="77"/>
        <v>47957754.968254089</v>
      </c>
      <c r="G161" s="225">
        <f t="shared" si="77"/>
        <v>12749754.968254089</v>
      </c>
      <c r="H161" s="225">
        <f t="shared" si="77"/>
        <v>-24894245.031745911</v>
      </c>
      <c r="I161" s="225">
        <f t="shared" si="77"/>
        <v>54923754.968254089</v>
      </c>
      <c r="J161" s="225">
        <f t="shared" si="77"/>
        <v>11531754.968254089</v>
      </c>
      <c r="K161" s="231">
        <f t="shared" si="77"/>
        <v>-284167245.03174603</v>
      </c>
    </row>
    <row r="162" spans="2:11" s="161" customFormat="1" ht="23.1" customHeight="1">
      <c r="B162" s="284"/>
      <c r="C162" s="226" t="s">
        <v>8</v>
      </c>
      <c r="D162" s="226"/>
      <c r="E162" s="226"/>
      <c r="F162" s="226"/>
      <c r="G162" s="226"/>
      <c r="H162" s="226"/>
      <c r="I162" s="226"/>
      <c r="J162" s="226"/>
      <c r="K162" s="234"/>
    </row>
    <row r="163" spans="2:11" s="161" customFormat="1" ht="23.1" customHeight="1">
      <c r="B163" s="282" t="s">
        <v>17</v>
      </c>
      <c r="C163" s="226" t="s">
        <v>3</v>
      </c>
      <c r="D163" s="225">
        <f>$G$53+$G$61+$G$62+$G$111+$G$127</f>
        <v>651761479</v>
      </c>
      <c r="E163" s="225">
        <f t="shared" ref="E163:K163" si="78">$D$141</f>
        <v>651761479</v>
      </c>
      <c r="F163" s="225">
        <f t="shared" si="78"/>
        <v>651761479</v>
      </c>
      <c r="G163" s="225">
        <f t="shared" si="78"/>
        <v>651761479</v>
      </c>
      <c r="H163" s="225">
        <f t="shared" si="78"/>
        <v>651761479</v>
      </c>
      <c r="I163" s="225">
        <f t="shared" si="78"/>
        <v>651761479</v>
      </c>
      <c r="J163" s="225">
        <f t="shared" si="78"/>
        <v>651761479</v>
      </c>
      <c r="K163" s="231">
        <f t="shared" si="78"/>
        <v>651761479</v>
      </c>
    </row>
    <row r="164" spans="2:11" s="161" customFormat="1" ht="23.1" customHeight="1">
      <c r="B164" s="283"/>
      <c r="C164" s="226" t="s">
        <v>42</v>
      </c>
      <c r="D164" s="225">
        <f>$I$53+$I$79+$I$80+I111+$I$127</f>
        <v>638349718.66666675</v>
      </c>
      <c r="E164" s="225">
        <f>$I$53+$I$79+$I$80+I119+$I$127</f>
        <v>693558118.66666663</v>
      </c>
      <c r="F164" s="225">
        <f>$I$53+$I$79+$I$80+I120+$I$127</f>
        <v>677178118.66666663</v>
      </c>
      <c r="G164" s="225">
        <f>$I$53+$I$79+$I$80+I121+$I$127</f>
        <v>665442118.66666663</v>
      </c>
      <c r="H164" s="225">
        <f>$I$53+$I$79+$I$80+I122+$I$127</f>
        <v>652894118.66666663</v>
      </c>
      <c r="I164" s="225">
        <f>$I$53+$I$79+$I$80+I123+$I$127</f>
        <v>679500118.66666663</v>
      </c>
      <c r="J164" s="225">
        <f>$I$53+$I$79+$I$80+I124+$I$127</f>
        <v>665036118.66666663</v>
      </c>
      <c r="K164" s="231">
        <f>'Total (2)'!J188</f>
        <v>612164118.66666663</v>
      </c>
    </row>
    <row r="165" spans="2:11" s="161" customFormat="1" ht="23.1" customHeight="1">
      <c r="B165" s="283"/>
      <c r="C165" s="226" t="s">
        <v>43</v>
      </c>
      <c r="D165" s="225">
        <f t="shared" ref="D165:K165" si="79">D164-D163</f>
        <v>-13411760.333333254</v>
      </c>
      <c r="E165" s="225">
        <f t="shared" si="79"/>
        <v>41796639.666666627</v>
      </c>
      <c r="F165" s="225">
        <f t="shared" si="79"/>
        <v>25416639.666666627</v>
      </c>
      <c r="G165" s="225">
        <f t="shared" si="79"/>
        <v>13680639.666666627</v>
      </c>
      <c r="H165" s="225">
        <f t="shared" si="79"/>
        <v>1132639.6666666269</v>
      </c>
      <c r="I165" s="225">
        <f t="shared" si="79"/>
        <v>27738639.666666627</v>
      </c>
      <c r="J165" s="225">
        <f t="shared" si="79"/>
        <v>13274639.666666627</v>
      </c>
      <c r="K165" s="231">
        <f t="shared" si="79"/>
        <v>-39597360.333333373</v>
      </c>
    </row>
    <row r="166" spans="2:11" s="161" customFormat="1" ht="23.1" customHeight="1">
      <c r="B166" s="284"/>
      <c r="C166" s="226" t="s">
        <v>8</v>
      </c>
      <c r="D166" s="226"/>
      <c r="E166" s="226"/>
      <c r="F166" s="226"/>
      <c r="G166" s="226"/>
      <c r="H166" s="226"/>
      <c r="I166" s="226"/>
      <c r="J166" s="226"/>
      <c r="K166" s="234"/>
    </row>
    <row r="167" spans="2:11" s="161" customFormat="1" ht="23.1" customHeight="1">
      <c r="B167" s="282" t="s">
        <v>111</v>
      </c>
      <c r="C167" s="226" t="s">
        <v>3</v>
      </c>
      <c r="D167" s="225">
        <f>$D$133+$D$137+$D$141</f>
        <v>3333115739.4642859</v>
      </c>
      <c r="E167" s="225">
        <f t="shared" ref="E167:K167" si="80">E155+E159+E163</f>
        <v>3333115739.4642859</v>
      </c>
      <c r="F167" s="225">
        <f t="shared" si="80"/>
        <v>3333115739.4642859</v>
      </c>
      <c r="G167" s="225">
        <f t="shared" si="80"/>
        <v>3333115739.4642859</v>
      </c>
      <c r="H167" s="225">
        <f t="shared" si="80"/>
        <v>3333115739.4642859</v>
      </c>
      <c r="I167" s="225">
        <f t="shared" si="80"/>
        <v>3333115739.4642859</v>
      </c>
      <c r="J167" s="225">
        <f t="shared" si="80"/>
        <v>3333115739.4642859</v>
      </c>
      <c r="K167" s="231">
        <f t="shared" si="80"/>
        <v>3333115739.4642859</v>
      </c>
    </row>
    <row r="168" spans="2:11" s="161" customFormat="1" ht="23.1" customHeight="1">
      <c r="B168" s="283"/>
      <c r="C168" s="226" t="s">
        <v>42</v>
      </c>
      <c r="D168" s="225">
        <f t="shared" ref="D168:K168" si="81">D156+D160+D164</f>
        <v>3176471129.0992069</v>
      </c>
      <c r="E168" s="225">
        <f t="shared" si="81"/>
        <v>3524643929.0992064</v>
      </c>
      <c r="F168" s="225">
        <f t="shared" si="81"/>
        <v>3426363929.0992064</v>
      </c>
      <c r="G168" s="225">
        <f t="shared" si="81"/>
        <v>3355947929.0992064</v>
      </c>
      <c r="H168" s="225">
        <f t="shared" si="81"/>
        <v>3280659929.0992064</v>
      </c>
      <c r="I168" s="225">
        <f t="shared" si="81"/>
        <v>3440295929.0992064</v>
      </c>
      <c r="J168" s="225">
        <f t="shared" si="81"/>
        <v>3353511929.0992064</v>
      </c>
      <c r="K168" s="231">
        <f t="shared" si="81"/>
        <v>2935145729.0992064</v>
      </c>
    </row>
    <row r="169" spans="2:11" s="161" customFormat="1" ht="23.1" customHeight="1">
      <c r="B169" s="283"/>
      <c r="C169" s="226" t="s">
        <v>43</v>
      </c>
      <c r="D169" s="225">
        <f t="shared" ref="D169:K169" si="82">D168-D167</f>
        <v>-156644610.36507893</v>
      </c>
      <c r="E169" s="225">
        <f t="shared" si="82"/>
        <v>191528189.6349206</v>
      </c>
      <c r="F169" s="225">
        <f t="shared" si="82"/>
        <v>93248189.634920597</v>
      </c>
      <c r="G169" s="225">
        <f t="shared" si="82"/>
        <v>22832189.634920597</v>
      </c>
      <c r="H169" s="225">
        <f t="shared" si="82"/>
        <v>-52455810.365079403</v>
      </c>
      <c r="I169" s="225">
        <f t="shared" si="82"/>
        <v>107180189.6349206</v>
      </c>
      <c r="J169" s="225">
        <f t="shared" si="82"/>
        <v>20396189.634920597</v>
      </c>
      <c r="K169" s="231">
        <f t="shared" si="82"/>
        <v>-397970010.3650794</v>
      </c>
    </row>
    <row r="170" spans="2:11" s="161" customFormat="1" ht="23.1" customHeight="1">
      <c r="B170" s="284"/>
      <c r="C170" s="226" t="s">
        <v>8</v>
      </c>
      <c r="D170" s="226"/>
      <c r="E170" s="226"/>
      <c r="F170" s="226"/>
      <c r="G170" s="226"/>
      <c r="H170" s="226"/>
      <c r="I170" s="226"/>
      <c r="J170" s="226"/>
      <c r="K170" s="234"/>
    </row>
    <row r="172" spans="2:11">
      <c r="D172" s="21">
        <f>D169/23000</f>
        <v>-6810.635233264301</v>
      </c>
      <c r="E172" s="21">
        <f t="shared" ref="E172:K172" si="83">E169/23000</f>
        <v>8327.3125928226345</v>
      </c>
      <c r="F172" s="21">
        <f t="shared" si="83"/>
        <v>4054.269114561765</v>
      </c>
      <c r="G172" s="21">
        <f t="shared" si="83"/>
        <v>992.70389717046078</v>
      </c>
      <c r="H172" s="21">
        <f t="shared" si="83"/>
        <v>-2280.6874071773655</v>
      </c>
      <c r="I172" s="21">
        <f t="shared" si="83"/>
        <v>4660.0082449965475</v>
      </c>
      <c r="J172" s="21">
        <f t="shared" si="83"/>
        <v>886.7908536921999</v>
      </c>
      <c r="K172" s="21">
        <f t="shared" si="83"/>
        <v>-17303.043928916497</v>
      </c>
    </row>
    <row r="175" spans="2:11" hidden="1"/>
    <row r="176" spans="2:11" hidden="1"/>
    <row r="177" spans="3:11" hidden="1"/>
    <row r="178" spans="3:11" hidden="1">
      <c r="D178" s="201" t="s">
        <v>97</v>
      </c>
      <c r="E178" s="201" t="s">
        <v>98</v>
      </c>
      <c r="F178" s="201" t="s">
        <v>99</v>
      </c>
      <c r="G178" s="201" t="s">
        <v>100</v>
      </c>
      <c r="H178" s="201" t="s">
        <v>101</v>
      </c>
      <c r="I178" s="201" t="s">
        <v>102</v>
      </c>
      <c r="J178" s="201" t="s">
        <v>103</v>
      </c>
      <c r="K178" s="201" t="s">
        <v>117</v>
      </c>
    </row>
    <row r="179" spans="3:11" hidden="1">
      <c r="C179" s="252" t="s">
        <v>22</v>
      </c>
      <c r="D179" s="220">
        <f>D147</f>
        <v>-83973217</v>
      </c>
      <c r="E179" s="220">
        <f t="shared" ref="E179:K179" si="84">E147</f>
        <v>264199583</v>
      </c>
      <c r="F179" s="220">
        <f t="shared" si="84"/>
        <v>165919583</v>
      </c>
      <c r="G179" s="220">
        <f t="shared" si="84"/>
        <v>95503583</v>
      </c>
      <c r="H179" s="220">
        <f t="shared" si="84"/>
        <v>20215583</v>
      </c>
      <c r="I179" s="220">
        <f t="shared" si="84"/>
        <v>179851583</v>
      </c>
      <c r="J179" s="220">
        <f t="shared" si="84"/>
        <v>93067583</v>
      </c>
      <c r="K179" s="220">
        <f t="shared" si="84"/>
        <v>-325298617</v>
      </c>
    </row>
    <row r="180" spans="3:11" hidden="1">
      <c r="C180" s="252" t="s">
        <v>30</v>
      </c>
      <c r="D180" s="220">
        <f>D169</f>
        <v>-156644610.36507893</v>
      </c>
      <c r="E180" s="220">
        <f t="shared" ref="E180:K180" si="85">E169</f>
        <v>191528189.6349206</v>
      </c>
      <c r="F180" s="220">
        <f t="shared" si="85"/>
        <v>93248189.634920597</v>
      </c>
      <c r="G180" s="220">
        <f t="shared" si="85"/>
        <v>22832189.634920597</v>
      </c>
      <c r="H180" s="220">
        <f t="shared" si="85"/>
        <v>-52455810.365079403</v>
      </c>
      <c r="I180" s="220">
        <f t="shared" si="85"/>
        <v>107180189.6349206</v>
      </c>
      <c r="J180" s="220">
        <f t="shared" si="85"/>
        <v>20396189.634920597</v>
      </c>
      <c r="K180" s="220">
        <f t="shared" si="85"/>
        <v>-397970010.3650794</v>
      </c>
    </row>
    <row r="181" spans="3:11" hidden="1">
      <c r="C181" s="7" t="s">
        <v>43</v>
      </c>
      <c r="D181" s="18">
        <f>D180-D179</f>
        <v>-72671393.365078926</v>
      </c>
      <c r="E181" s="18">
        <f t="shared" ref="E181:K181" si="86">E180-E179</f>
        <v>-72671393.365079403</v>
      </c>
      <c r="F181" s="18">
        <f t="shared" si="86"/>
        <v>-72671393.365079403</v>
      </c>
      <c r="G181" s="18">
        <f t="shared" si="86"/>
        <v>-72671393.365079403</v>
      </c>
      <c r="H181" s="18">
        <f t="shared" si="86"/>
        <v>-72671393.365079403</v>
      </c>
      <c r="I181" s="18">
        <f t="shared" si="86"/>
        <v>-72671393.365079403</v>
      </c>
      <c r="J181" s="18">
        <f t="shared" si="86"/>
        <v>-72671393.365079403</v>
      </c>
      <c r="K181" s="18">
        <f t="shared" si="86"/>
        <v>-72671393.365079403</v>
      </c>
    </row>
    <row r="182" spans="3:11" hidden="1"/>
    <row r="183" spans="3:11" hidden="1">
      <c r="D183" s="21">
        <f>D181/23000</f>
        <v>-3159.6257984816925</v>
      </c>
    </row>
    <row r="184" spans="3:11" hidden="1"/>
    <row r="186" spans="3:11">
      <c r="F186" t="s">
        <v>118</v>
      </c>
    </row>
    <row r="187" spans="3:11">
      <c r="D187" s="131" t="s">
        <v>95</v>
      </c>
      <c r="E187" s="131" t="s">
        <v>3</v>
      </c>
      <c r="F187" s="131" t="s">
        <v>42</v>
      </c>
      <c r="G187" s="131" t="s">
        <v>43</v>
      </c>
      <c r="H187" s="230" t="s">
        <v>151</v>
      </c>
      <c r="I187" s="118"/>
    </row>
    <row r="188" spans="3:11">
      <c r="D188" s="7" t="s">
        <v>10</v>
      </c>
      <c r="E188" s="220">
        <f>D155</f>
        <v>1345458283.4642859</v>
      </c>
      <c r="F188" s="220">
        <f>D134</f>
        <v>1304533314.4642859</v>
      </c>
      <c r="G188" s="220">
        <f t="shared" ref="G188:G191" si="87">F188-E188</f>
        <v>-40924969</v>
      </c>
      <c r="H188" t="s">
        <v>113</v>
      </c>
    </row>
    <row r="189" spans="3:11">
      <c r="D189" s="7" t="s">
        <v>15</v>
      </c>
      <c r="E189" s="220">
        <f>D159</f>
        <v>1335895977</v>
      </c>
      <c r="F189" s="220">
        <f>K138</f>
        <v>1071999940</v>
      </c>
      <c r="G189" s="220">
        <f t="shared" si="87"/>
        <v>-263896037</v>
      </c>
      <c r="H189" t="s">
        <v>119</v>
      </c>
    </row>
    <row r="190" spans="3:11">
      <c r="D190" s="7" t="s">
        <v>17</v>
      </c>
      <c r="E190" s="220">
        <f>D163</f>
        <v>651761479</v>
      </c>
      <c r="F190" s="220">
        <f>K142</f>
        <v>631283868</v>
      </c>
      <c r="G190" s="220">
        <f t="shared" si="87"/>
        <v>-20477611</v>
      </c>
      <c r="H190" t="s">
        <v>120</v>
      </c>
    </row>
    <row r="191" spans="3:11">
      <c r="D191" s="7" t="s">
        <v>111</v>
      </c>
      <c r="E191" s="220">
        <f>SUM(E188:E190)</f>
        <v>3333115739.4642859</v>
      </c>
      <c r="F191" s="220">
        <f>SUM(F188:F190)</f>
        <v>3007817122.4642859</v>
      </c>
      <c r="G191" s="220">
        <f t="shared" si="87"/>
        <v>-325298617</v>
      </c>
    </row>
    <row r="192" spans="3:11">
      <c r="G192" s="21">
        <f>G191/23000</f>
        <v>-14143.418130434782</v>
      </c>
    </row>
    <row r="195" spans="3:11">
      <c r="D195" s="131" t="s">
        <v>95</v>
      </c>
      <c r="E195" s="131" t="s">
        <v>3</v>
      </c>
      <c r="F195" s="131" t="s">
        <v>42</v>
      </c>
      <c r="G195" s="131" t="s">
        <v>43</v>
      </c>
      <c r="H195" s="230" t="s">
        <v>152</v>
      </c>
      <c r="I195" s="118"/>
    </row>
    <row r="196" spans="3:11">
      <c r="D196" s="7" t="s">
        <v>10</v>
      </c>
      <c r="E196" s="220">
        <f>E188</f>
        <v>1345458283.4642859</v>
      </c>
      <c r="F196" s="220">
        <f>D156</f>
        <v>1271252878.4642859</v>
      </c>
      <c r="G196" s="220">
        <f t="shared" ref="G196:G199" si="88">F196-E196</f>
        <v>-74205405</v>
      </c>
      <c r="H196" t="s">
        <v>113</v>
      </c>
    </row>
    <row r="197" spans="3:11">
      <c r="D197" s="7" t="s">
        <v>15</v>
      </c>
      <c r="E197" s="220">
        <f t="shared" ref="E197:E198" si="89">E189</f>
        <v>1335895977</v>
      </c>
      <c r="F197" s="220">
        <f>K160</f>
        <v>1051728731.968254</v>
      </c>
      <c r="G197" s="220">
        <f t="shared" si="88"/>
        <v>-284167245.03174603</v>
      </c>
      <c r="H197" t="s">
        <v>119</v>
      </c>
    </row>
    <row r="198" spans="3:11">
      <c r="D198" s="7" t="s">
        <v>17</v>
      </c>
      <c r="E198" s="220">
        <f t="shared" si="89"/>
        <v>651761479</v>
      </c>
      <c r="F198" s="220">
        <f>K164</f>
        <v>612164118.66666663</v>
      </c>
      <c r="G198" s="220">
        <f t="shared" si="88"/>
        <v>-39597360.333333373</v>
      </c>
      <c r="H198" t="s">
        <v>120</v>
      </c>
    </row>
    <row r="199" spans="3:11">
      <c r="D199" s="7" t="s">
        <v>111</v>
      </c>
      <c r="E199" s="220">
        <f>SUM(E196:E198)</f>
        <v>3333115739.4642859</v>
      </c>
      <c r="F199" s="220">
        <f>SUM(F196:F198)</f>
        <v>2935145729.0992064</v>
      </c>
      <c r="G199" s="220">
        <f t="shared" si="88"/>
        <v>-397970010.3650794</v>
      </c>
    </row>
    <row r="200" spans="3:11">
      <c r="G200" s="21">
        <f>G199/23000</f>
        <v>-17303.043928916497</v>
      </c>
    </row>
    <row r="203" spans="3:11">
      <c r="G203" s="21">
        <f>G200-G192</f>
        <v>-3159.6257984817148</v>
      </c>
    </row>
    <row r="207" spans="3:11">
      <c r="C207" s="300" t="s">
        <v>95</v>
      </c>
      <c r="D207" s="300" t="s">
        <v>96</v>
      </c>
      <c r="E207" s="236" t="s">
        <v>97</v>
      </c>
      <c r="F207" s="236" t="s">
        <v>98</v>
      </c>
      <c r="G207" s="236" t="s">
        <v>99</v>
      </c>
      <c r="H207" s="236" t="s">
        <v>100</v>
      </c>
      <c r="I207" s="236" t="s">
        <v>101</v>
      </c>
      <c r="J207" s="236" t="s">
        <v>102</v>
      </c>
      <c r="K207" s="236" t="s">
        <v>103</v>
      </c>
    </row>
    <row r="208" spans="3:11" ht="30">
      <c r="C208" s="301"/>
      <c r="D208" s="301"/>
      <c r="E208" s="168" t="s">
        <v>104</v>
      </c>
      <c r="F208" s="237" t="s">
        <v>153</v>
      </c>
      <c r="G208" s="237" t="s">
        <v>154</v>
      </c>
      <c r="H208" s="237" t="s">
        <v>155</v>
      </c>
      <c r="I208" s="237" t="s">
        <v>156</v>
      </c>
      <c r="J208" s="237" t="s">
        <v>157</v>
      </c>
      <c r="K208" s="237" t="s">
        <v>157</v>
      </c>
    </row>
    <row r="209" spans="3:11">
      <c r="C209" s="168" t="s">
        <v>10</v>
      </c>
      <c r="D209" s="238">
        <f>+D133</f>
        <v>1345458283.4642859</v>
      </c>
      <c r="E209" s="239">
        <f>+D134</f>
        <v>1304533314.4642859</v>
      </c>
      <c r="F209" s="239">
        <f t="shared" ref="F209:K209" si="90">+E134</f>
        <v>1431372514.4642859</v>
      </c>
      <c r="G209" s="239">
        <f t="shared" si="90"/>
        <v>1398612514.4642859</v>
      </c>
      <c r="H209" s="239">
        <f t="shared" si="90"/>
        <v>1375140514.4642859</v>
      </c>
      <c r="I209" s="239">
        <f t="shared" si="90"/>
        <v>1350044514.4642859</v>
      </c>
      <c r="J209" s="239">
        <f t="shared" si="90"/>
        <v>1403256514.4642859</v>
      </c>
      <c r="K209" s="239">
        <f t="shared" si="90"/>
        <v>1374328514.4642859</v>
      </c>
    </row>
    <row r="210" spans="3:11">
      <c r="C210" s="168" t="s">
        <v>15</v>
      </c>
      <c r="D210" s="238">
        <f>+D137</f>
        <v>1335895977</v>
      </c>
      <c r="E210" s="239">
        <f>+D138</f>
        <v>1287139740</v>
      </c>
      <c r="F210" s="239">
        <f t="shared" ref="F210:K210" si="91">+E138</f>
        <v>1453264940</v>
      </c>
      <c r="G210" s="239">
        <f t="shared" si="91"/>
        <v>1404124940</v>
      </c>
      <c r="H210" s="239">
        <f t="shared" si="91"/>
        <v>1368916940</v>
      </c>
      <c r="I210" s="239">
        <f t="shared" si="91"/>
        <v>1331272940</v>
      </c>
      <c r="J210" s="239">
        <f t="shared" si="91"/>
        <v>1411090940</v>
      </c>
      <c r="K210" s="239">
        <f t="shared" si="91"/>
        <v>1367698940</v>
      </c>
    </row>
    <row r="211" spans="3:11">
      <c r="C211" s="168" t="s">
        <v>17</v>
      </c>
      <c r="D211" s="238">
        <f>+D141</f>
        <v>651761479</v>
      </c>
      <c r="E211" s="239">
        <f>+D142</f>
        <v>657469468</v>
      </c>
      <c r="F211" s="239">
        <f t="shared" ref="F211:K211" si="92">+E142</f>
        <v>712677868</v>
      </c>
      <c r="G211" s="239">
        <f t="shared" si="92"/>
        <v>696297868</v>
      </c>
      <c r="H211" s="239">
        <f t="shared" si="92"/>
        <v>684561868</v>
      </c>
      <c r="I211" s="239">
        <f t="shared" si="92"/>
        <v>672013868</v>
      </c>
      <c r="J211" s="239">
        <f t="shared" si="92"/>
        <v>698619868</v>
      </c>
      <c r="K211" s="239">
        <f t="shared" si="92"/>
        <v>684155868</v>
      </c>
    </row>
    <row r="212" spans="3:11">
      <c r="C212" s="168" t="s">
        <v>111</v>
      </c>
      <c r="D212" s="238">
        <f>D209+D210+D211</f>
        <v>3333115739.4642859</v>
      </c>
      <c r="E212" s="238">
        <f>+E209+E210+E211</f>
        <v>3249142522.4642859</v>
      </c>
      <c r="F212" s="238">
        <f t="shared" ref="F212:K212" si="93">+F209+F210+F211</f>
        <v>3597315322.4642859</v>
      </c>
      <c r="G212" s="238">
        <f t="shared" si="93"/>
        <v>3499035322.4642859</v>
      </c>
      <c r="H212" s="238">
        <f t="shared" si="93"/>
        <v>3428619322.4642859</v>
      </c>
      <c r="I212" s="238">
        <f t="shared" si="93"/>
        <v>3353331322.4642859</v>
      </c>
      <c r="J212" s="238">
        <f t="shared" si="93"/>
        <v>3512967322.4642859</v>
      </c>
      <c r="K212" s="238">
        <f t="shared" si="93"/>
        <v>3426183322.4642859</v>
      </c>
    </row>
    <row r="213" spans="3:11">
      <c r="C213" s="168" t="s">
        <v>43</v>
      </c>
      <c r="D213" s="168"/>
      <c r="E213" s="239">
        <f>+E212-$D$212</f>
        <v>-83973217</v>
      </c>
      <c r="F213" s="239">
        <f t="shared" ref="F213:K213" si="94">+F212-$D$212</f>
        <v>264199583</v>
      </c>
      <c r="G213" s="239">
        <f t="shared" si="94"/>
        <v>165919583</v>
      </c>
      <c r="H213" s="239">
        <f t="shared" si="94"/>
        <v>95503583</v>
      </c>
      <c r="I213" s="239">
        <f t="shared" si="94"/>
        <v>20215583</v>
      </c>
      <c r="J213" s="239">
        <f t="shared" si="94"/>
        <v>179851583</v>
      </c>
      <c r="K213" s="239">
        <f t="shared" si="94"/>
        <v>93067583</v>
      </c>
    </row>
    <row r="214" spans="3:11">
      <c r="C214" s="168"/>
      <c r="D214" s="168" t="s">
        <v>112</v>
      </c>
      <c r="E214" s="239">
        <f>+E213/23000</f>
        <v>-3651.0094347826089</v>
      </c>
      <c r="F214" s="239">
        <f t="shared" ref="F214:K214" si="95">+F213/23000</f>
        <v>11486.938391304348</v>
      </c>
      <c r="G214" s="239">
        <f t="shared" si="95"/>
        <v>7213.8949130434785</v>
      </c>
      <c r="H214" s="239">
        <f t="shared" si="95"/>
        <v>4152.3296956521735</v>
      </c>
      <c r="I214" s="239">
        <f t="shared" si="95"/>
        <v>878.93839130434787</v>
      </c>
      <c r="J214" s="239">
        <f t="shared" si="95"/>
        <v>7819.6340434782605</v>
      </c>
      <c r="K214" s="239">
        <f t="shared" si="95"/>
        <v>4046.416652173913</v>
      </c>
    </row>
    <row r="215" spans="3:11">
      <c r="D215" s="160"/>
    </row>
    <row r="216" spans="3:11">
      <c r="D216" s="160"/>
    </row>
    <row r="217" spans="3:11">
      <c r="D217" s="160"/>
    </row>
    <row r="218" spans="3:11">
      <c r="C218" s="300" t="s">
        <v>95</v>
      </c>
      <c r="D218" s="300" t="s">
        <v>96</v>
      </c>
      <c r="E218" s="236" t="s">
        <v>97</v>
      </c>
      <c r="F218" s="236" t="s">
        <v>98</v>
      </c>
      <c r="G218" s="236" t="s">
        <v>99</v>
      </c>
      <c r="H218" s="236" t="s">
        <v>100</v>
      </c>
      <c r="I218" s="236" t="s">
        <v>101</v>
      </c>
      <c r="J218" s="236" t="s">
        <v>102</v>
      </c>
      <c r="K218" s="236" t="s">
        <v>103</v>
      </c>
    </row>
    <row r="219" spans="3:11" ht="30">
      <c r="C219" s="301"/>
      <c r="D219" s="301"/>
      <c r="E219" s="168" t="s">
        <v>104</v>
      </c>
      <c r="F219" s="237" t="s">
        <v>153</v>
      </c>
      <c r="G219" s="237" t="s">
        <v>154</v>
      </c>
      <c r="H219" s="237" t="s">
        <v>155</v>
      </c>
      <c r="I219" s="237" t="s">
        <v>156</v>
      </c>
      <c r="J219" s="237" t="s">
        <v>157</v>
      </c>
      <c r="K219" s="237" t="s">
        <v>157</v>
      </c>
    </row>
    <row r="220" spans="3:11">
      <c r="C220" s="168" t="s">
        <v>10</v>
      </c>
      <c r="D220" s="238">
        <f>+D155</f>
        <v>1345458283.4642859</v>
      </c>
      <c r="E220" s="239">
        <f>+D156</f>
        <v>1271252878.4642859</v>
      </c>
      <c r="F220" s="239">
        <f t="shared" ref="F220:K220" si="96">+E156</f>
        <v>1398092078.4642859</v>
      </c>
      <c r="G220" s="239">
        <f t="shared" si="96"/>
        <v>1365332078.4642859</v>
      </c>
      <c r="H220" s="239">
        <f t="shared" si="96"/>
        <v>1341860078.4642859</v>
      </c>
      <c r="I220" s="239">
        <f t="shared" si="96"/>
        <v>1316764078.4642859</v>
      </c>
      <c r="J220" s="239">
        <f t="shared" si="96"/>
        <v>1369976078.4642859</v>
      </c>
      <c r="K220" s="239">
        <f t="shared" si="96"/>
        <v>1341048078.4642859</v>
      </c>
    </row>
    <row r="221" spans="3:11">
      <c r="C221" s="168" t="s">
        <v>15</v>
      </c>
      <c r="D221" s="238">
        <f>+D159</f>
        <v>1335895977</v>
      </c>
      <c r="E221" s="239">
        <f>+D160</f>
        <v>1266868531.9682541</v>
      </c>
      <c r="F221" s="239">
        <f t="shared" ref="F221:K221" si="97">+E160</f>
        <v>1432993731.9682541</v>
      </c>
      <c r="G221" s="239">
        <f t="shared" si="97"/>
        <v>1383853731.9682541</v>
      </c>
      <c r="H221" s="239">
        <f t="shared" si="97"/>
        <v>1348645731.9682541</v>
      </c>
      <c r="I221" s="239">
        <f t="shared" si="97"/>
        <v>1311001731.9682541</v>
      </c>
      <c r="J221" s="239">
        <f t="shared" si="97"/>
        <v>1390819731.9682541</v>
      </c>
      <c r="K221" s="239">
        <f t="shared" si="97"/>
        <v>1347427731.9682541</v>
      </c>
    </row>
    <row r="222" spans="3:11">
      <c r="C222" s="168" t="s">
        <v>17</v>
      </c>
      <c r="D222" s="238">
        <f>+D163</f>
        <v>651761479</v>
      </c>
      <c r="E222" s="239">
        <f>+D164</f>
        <v>638349718.66666675</v>
      </c>
      <c r="F222" s="239">
        <f t="shared" ref="F222:K222" si="98">+E164</f>
        <v>693558118.66666663</v>
      </c>
      <c r="G222" s="239">
        <f t="shared" si="98"/>
        <v>677178118.66666663</v>
      </c>
      <c r="H222" s="239">
        <f t="shared" si="98"/>
        <v>665442118.66666663</v>
      </c>
      <c r="I222" s="239">
        <f t="shared" si="98"/>
        <v>652894118.66666663</v>
      </c>
      <c r="J222" s="239">
        <f t="shared" si="98"/>
        <v>679500118.66666663</v>
      </c>
      <c r="K222" s="239">
        <f t="shared" si="98"/>
        <v>665036118.66666663</v>
      </c>
    </row>
    <row r="223" spans="3:11">
      <c r="C223" s="168" t="s">
        <v>111</v>
      </c>
      <c r="D223" s="238">
        <f>+D220+D221+D222</f>
        <v>3333115739.4642859</v>
      </c>
      <c r="E223" s="238">
        <f>+E220+E221+E222</f>
        <v>3176471129.0992069</v>
      </c>
      <c r="F223" s="238">
        <f t="shared" ref="F223:K223" si="99">+F220+F221+F222</f>
        <v>3524643929.0992064</v>
      </c>
      <c r="G223" s="238">
        <f t="shared" si="99"/>
        <v>3426363929.0992064</v>
      </c>
      <c r="H223" s="238">
        <f t="shared" si="99"/>
        <v>3355947929.0992064</v>
      </c>
      <c r="I223" s="238">
        <f t="shared" si="99"/>
        <v>3280659929.0992064</v>
      </c>
      <c r="J223" s="238">
        <f t="shared" si="99"/>
        <v>3440295929.0992064</v>
      </c>
      <c r="K223" s="238">
        <f t="shared" si="99"/>
        <v>3353511929.0992064</v>
      </c>
    </row>
    <row r="224" spans="3:11">
      <c r="C224" s="168" t="s">
        <v>43</v>
      </c>
      <c r="D224" s="168"/>
      <c r="E224" s="239">
        <f>+E223-$D$223</f>
        <v>-156644610.36507893</v>
      </c>
      <c r="F224" s="239">
        <f t="shared" ref="F224:K224" si="100">+F223-$D$223</f>
        <v>191528189.6349206</v>
      </c>
      <c r="G224" s="239">
        <f t="shared" si="100"/>
        <v>93248189.634920597</v>
      </c>
      <c r="H224" s="239">
        <f t="shared" si="100"/>
        <v>22832189.634920597</v>
      </c>
      <c r="I224" s="239">
        <f t="shared" si="100"/>
        <v>-52455810.365079403</v>
      </c>
      <c r="J224" s="239">
        <f t="shared" si="100"/>
        <v>107180189.6349206</v>
      </c>
      <c r="K224" s="239">
        <f t="shared" si="100"/>
        <v>20396189.634920597</v>
      </c>
    </row>
    <row r="225" spans="3:11">
      <c r="C225" s="168"/>
      <c r="D225" s="168" t="s">
        <v>112</v>
      </c>
      <c r="E225" s="239">
        <f>+E224/23000</f>
        <v>-6810.635233264301</v>
      </c>
      <c r="F225" s="239">
        <f t="shared" ref="F225:K225" si="101">+F224/23000</f>
        <v>8327.3125928226345</v>
      </c>
      <c r="G225" s="239">
        <f t="shared" si="101"/>
        <v>4054.269114561765</v>
      </c>
      <c r="H225" s="239">
        <f t="shared" si="101"/>
        <v>992.70389717046078</v>
      </c>
      <c r="I225" s="239">
        <f t="shared" si="101"/>
        <v>-2280.6874071773655</v>
      </c>
      <c r="J225" s="239">
        <f t="shared" si="101"/>
        <v>4660.0082449965475</v>
      </c>
      <c r="K225" s="239">
        <f t="shared" si="101"/>
        <v>886.7908536921999</v>
      </c>
    </row>
    <row r="227" spans="3:11">
      <c r="K227" s="21">
        <f>+K214-K225</f>
        <v>3159.625798481713</v>
      </c>
    </row>
  </sheetData>
  <mergeCells count="121">
    <mergeCell ref="K72:M74"/>
    <mergeCell ref="K66:M68"/>
    <mergeCell ref="K78:M80"/>
    <mergeCell ref="K48:M49"/>
    <mergeCell ref="K60:M62"/>
    <mergeCell ref="B131:C132"/>
    <mergeCell ref="B153:C154"/>
    <mergeCell ref="C207:C208"/>
    <mergeCell ref="C218:C219"/>
    <mergeCell ref="D48:D49"/>
    <mergeCell ref="D207:D208"/>
    <mergeCell ref="D218:D219"/>
    <mergeCell ref="E48:E49"/>
    <mergeCell ref="I144:J144"/>
    <mergeCell ref="B48:B49"/>
    <mergeCell ref="B51:B54"/>
    <mergeCell ref="B55:B58"/>
    <mergeCell ref="B59:B64"/>
    <mergeCell ref="B65:B70"/>
    <mergeCell ref="B71:B76"/>
    <mergeCell ref="B77:B82"/>
    <mergeCell ref="B83:B128"/>
    <mergeCell ref="B133:B136"/>
    <mergeCell ref="B137:B140"/>
    <mergeCell ref="I32:I34"/>
    <mergeCell ref="I39:I41"/>
    <mergeCell ref="J48:J49"/>
    <mergeCell ref="B145:B148"/>
    <mergeCell ref="B155:B158"/>
    <mergeCell ref="B159:B162"/>
    <mergeCell ref="B163:B166"/>
    <mergeCell ref="B167:B170"/>
    <mergeCell ref="C48:C49"/>
    <mergeCell ref="C51:C54"/>
    <mergeCell ref="C55:C58"/>
    <mergeCell ref="C59:C62"/>
    <mergeCell ref="C65:C68"/>
    <mergeCell ref="C71:C74"/>
    <mergeCell ref="C77:C80"/>
    <mergeCell ref="C83:C96"/>
    <mergeCell ref="C97:C110"/>
    <mergeCell ref="C111:C124"/>
    <mergeCell ref="C125:C127"/>
    <mergeCell ref="E140:F140"/>
    <mergeCell ref="G140:H140"/>
    <mergeCell ref="I140:J140"/>
    <mergeCell ref="E144:F144"/>
    <mergeCell ref="G144:H144"/>
    <mergeCell ref="B141:B144"/>
    <mergeCell ref="K123:M123"/>
    <mergeCell ref="K124:M124"/>
    <mergeCell ref="K125:M125"/>
    <mergeCell ref="K126:M126"/>
    <mergeCell ref="K127:M127"/>
    <mergeCell ref="K128:M128"/>
    <mergeCell ref="E136:F136"/>
    <mergeCell ref="G136:H136"/>
    <mergeCell ref="I136:J136"/>
    <mergeCell ref="K114:M114"/>
    <mergeCell ref="K115:M115"/>
    <mergeCell ref="K116:M116"/>
    <mergeCell ref="K117:M117"/>
    <mergeCell ref="K118:M118"/>
    <mergeCell ref="K119:M119"/>
    <mergeCell ref="K120:M120"/>
    <mergeCell ref="K121:M121"/>
    <mergeCell ref="K122:M122"/>
    <mergeCell ref="K105:M105"/>
    <mergeCell ref="K106:M106"/>
    <mergeCell ref="K107:M107"/>
    <mergeCell ref="K108:M108"/>
    <mergeCell ref="K109:M109"/>
    <mergeCell ref="K110:M110"/>
    <mergeCell ref="K111:M111"/>
    <mergeCell ref="K112:M112"/>
    <mergeCell ref="K113:M113"/>
    <mergeCell ref="K96:M96"/>
    <mergeCell ref="K97:M97"/>
    <mergeCell ref="K98:M98"/>
    <mergeCell ref="K99:M99"/>
    <mergeCell ref="K100:M100"/>
    <mergeCell ref="K101:M101"/>
    <mergeCell ref="K102:M102"/>
    <mergeCell ref="K103:M103"/>
    <mergeCell ref="K104:M104"/>
    <mergeCell ref="K87:M87"/>
    <mergeCell ref="K88:M88"/>
    <mergeCell ref="K89:M89"/>
    <mergeCell ref="K90:M90"/>
    <mergeCell ref="K91:M91"/>
    <mergeCell ref="K92:M92"/>
    <mergeCell ref="K93:M93"/>
    <mergeCell ref="K94:M94"/>
    <mergeCell ref="K95:M95"/>
    <mergeCell ref="K75:M75"/>
    <mergeCell ref="K76:M76"/>
    <mergeCell ref="K77:M77"/>
    <mergeCell ref="K81:M81"/>
    <mergeCell ref="K82:M82"/>
    <mergeCell ref="K83:M83"/>
    <mergeCell ref="K84:M84"/>
    <mergeCell ref="K85:M85"/>
    <mergeCell ref="K86:M86"/>
    <mergeCell ref="K57:M57"/>
    <mergeCell ref="K58:M58"/>
    <mergeCell ref="K59:M59"/>
    <mergeCell ref="K63:M63"/>
    <mergeCell ref="K64:M64"/>
    <mergeCell ref="K65:M65"/>
    <mergeCell ref="K69:M69"/>
    <mergeCell ref="K70:M70"/>
    <mergeCell ref="K71:M71"/>
    <mergeCell ref="F48:G48"/>
    <mergeCell ref="H48:I48"/>
    <mergeCell ref="K50:M50"/>
    <mergeCell ref="K51:M51"/>
    <mergeCell ref="K52:M52"/>
    <mergeCell ref="K53:M53"/>
    <mergeCell ref="K54:M54"/>
    <mergeCell ref="K55:M55"/>
    <mergeCell ref="K56:M56"/>
  </mergeCells>
  <pageMargins left="0.7" right="0.7" top="0.75" bottom="0.75" header="0.3" footer="0.3"/>
  <pageSetup paperSize="9" scale="40" fitToHeight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81"/>
  <sheetViews>
    <sheetView showGridLines="0" workbookViewId="0">
      <selection activeCell="O11" sqref="O11"/>
    </sheetView>
  </sheetViews>
  <sheetFormatPr defaultColWidth="9" defaultRowHeight="15"/>
  <cols>
    <col min="10" max="10" width="9.28515625" customWidth="1"/>
    <col min="11" max="11" width="9.42578125" customWidth="1"/>
    <col min="12" max="12" width="9.7109375" customWidth="1"/>
    <col min="13" max="14" width="9.5703125" customWidth="1"/>
    <col min="15" max="15" width="9.140625" customWidth="1"/>
    <col min="20" max="20" width="10.42578125" customWidth="1"/>
    <col min="22" max="22" width="9.7109375" customWidth="1"/>
    <col min="23" max="23" width="13.28515625" customWidth="1"/>
  </cols>
  <sheetData>
    <row r="3" spans="2:23">
      <c r="B3" t="s">
        <v>158</v>
      </c>
      <c r="K3" s="183"/>
      <c r="T3" s="183"/>
    </row>
    <row r="4" spans="2:23" s="160" customFormat="1" ht="30">
      <c r="B4" s="131" t="s">
        <v>10</v>
      </c>
      <c r="C4" s="131" t="s">
        <v>121</v>
      </c>
      <c r="D4" s="131" t="s">
        <v>159</v>
      </c>
      <c r="E4" s="131" t="s">
        <v>160</v>
      </c>
      <c r="F4" s="131" t="s">
        <v>161</v>
      </c>
      <c r="G4" s="162" t="s">
        <v>162</v>
      </c>
      <c r="I4" s="131" t="s">
        <v>15</v>
      </c>
      <c r="J4" s="131" t="s">
        <v>159</v>
      </c>
      <c r="K4" s="162" t="s">
        <v>163</v>
      </c>
      <c r="L4" s="162" t="s">
        <v>164</v>
      </c>
      <c r="M4" s="162" t="s">
        <v>162</v>
      </c>
      <c r="N4" s="162" t="s">
        <v>165</v>
      </c>
      <c r="R4" s="131" t="s">
        <v>17</v>
      </c>
      <c r="S4" s="131" t="s">
        <v>159</v>
      </c>
      <c r="T4" s="131" t="s">
        <v>160</v>
      </c>
      <c r="U4" s="131" t="s">
        <v>161</v>
      </c>
      <c r="V4" s="190" t="s">
        <v>166</v>
      </c>
      <c r="W4" s="162" t="s">
        <v>162</v>
      </c>
    </row>
    <row r="5" spans="2:23">
      <c r="B5" s="7" t="s">
        <v>167</v>
      </c>
      <c r="C5" s="7">
        <v>30.58</v>
      </c>
      <c r="D5" s="7">
        <v>15.5</v>
      </c>
      <c r="E5" s="7"/>
      <c r="F5" s="7"/>
      <c r="G5" s="7">
        <v>59.5</v>
      </c>
      <c r="I5" s="7" t="s">
        <v>167</v>
      </c>
      <c r="J5" s="7">
        <v>27.59</v>
      </c>
      <c r="K5" s="184">
        <v>828.45024906600099</v>
      </c>
      <c r="L5" s="7"/>
      <c r="M5" s="7">
        <v>80</v>
      </c>
      <c r="N5" s="7">
        <v>63.58</v>
      </c>
      <c r="R5" s="7" t="s">
        <v>167</v>
      </c>
      <c r="S5" s="7">
        <v>15.75</v>
      </c>
      <c r="T5" s="7">
        <v>178.77</v>
      </c>
      <c r="U5" s="7"/>
      <c r="V5" s="7">
        <v>26</v>
      </c>
      <c r="W5" s="7"/>
    </row>
    <row r="6" spans="2:23">
      <c r="B6" s="7" t="s">
        <v>168</v>
      </c>
      <c r="C6" s="7">
        <v>24.33</v>
      </c>
      <c r="D6" s="7">
        <v>13.33</v>
      </c>
      <c r="E6" s="7"/>
      <c r="F6" s="7"/>
      <c r="G6" s="7">
        <v>47.75</v>
      </c>
      <c r="I6" s="7" t="s">
        <v>168</v>
      </c>
      <c r="J6" s="7">
        <v>28.17</v>
      </c>
      <c r="K6" s="7">
        <v>635.36</v>
      </c>
      <c r="L6" s="7"/>
      <c r="M6" s="7">
        <v>96</v>
      </c>
      <c r="N6" s="7">
        <v>49.5</v>
      </c>
      <c r="R6" s="7" t="s">
        <v>168</v>
      </c>
      <c r="S6" s="7">
        <v>22.92</v>
      </c>
      <c r="T6" s="7">
        <v>133.55000000000001</v>
      </c>
      <c r="U6" s="7"/>
      <c r="V6" s="7">
        <v>18.829999999999998</v>
      </c>
      <c r="W6" s="7"/>
    </row>
    <row r="7" spans="2:23">
      <c r="B7" s="7" t="s">
        <v>169</v>
      </c>
      <c r="C7" s="7">
        <v>23.58</v>
      </c>
      <c r="D7" s="7">
        <v>10.08</v>
      </c>
      <c r="E7" s="7"/>
      <c r="F7" s="7"/>
      <c r="G7" s="7">
        <v>65.33</v>
      </c>
      <c r="I7" s="7" t="s">
        <v>169</v>
      </c>
      <c r="J7" s="7">
        <v>26.57</v>
      </c>
      <c r="K7" s="7">
        <v>647.51</v>
      </c>
      <c r="L7" s="7"/>
      <c r="M7" s="7">
        <v>100.83</v>
      </c>
      <c r="N7" s="7">
        <v>65.58</v>
      </c>
      <c r="R7" s="7" t="s">
        <v>169</v>
      </c>
      <c r="S7" s="7">
        <v>10.83</v>
      </c>
      <c r="T7" s="7">
        <v>149.13</v>
      </c>
      <c r="U7" s="7"/>
      <c r="V7" s="7">
        <v>28.08</v>
      </c>
      <c r="W7" s="7"/>
    </row>
    <row r="8" spans="2:23">
      <c r="B8" s="7" t="s">
        <v>170</v>
      </c>
      <c r="C8" s="7">
        <v>20.25</v>
      </c>
      <c r="D8" s="7">
        <v>6.67</v>
      </c>
      <c r="E8" s="7"/>
      <c r="F8" s="7"/>
      <c r="G8" s="7">
        <v>56.17</v>
      </c>
      <c r="I8" s="7" t="s">
        <v>170</v>
      </c>
      <c r="J8" s="7">
        <v>38.25</v>
      </c>
      <c r="K8" s="7">
        <v>776.83</v>
      </c>
      <c r="L8" s="7"/>
      <c r="M8" s="7">
        <v>118.5</v>
      </c>
      <c r="N8" s="7">
        <v>50.17</v>
      </c>
      <c r="R8" s="7" t="s">
        <v>170</v>
      </c>
      <c r="S8" s="7">
        <v>10.67</v>
      </c>
      <c r="T8" s="7">
        <v>121.53</v>
      </c>
      <c r="U8" s="7"/>
      <c r="V8" s="7">
        <v>23.25</v>
      </c>
      <c r="W8" s="7"/>
    </row>
    <row r="9" spans="2:23">
      <c r="B9" s="7" t="s">
        <v>171</v>
      </c>
      <c r="C9" s="7">
        <v>12.25</v>
      </c>
      <c r="D9" s="7">
        <v>4.42</v>
      </c>
      <c r="E9" s="7"/>
      <c r="F9" s="7"/>
      <c r="G9" s="7">
        <v>41.25</v>
      </c>
      <c r="I9" s="7" t="s">
        <v>171</v>
      </c>
      <c r="J9" s="7">
        <v>29.08</v>
      </c>
      <c r="K9" s="7">
        <v>643.01</v>
      </c>
      <c r="L9" s="7"/>
      <c r="M9" s="7">
        <v>89.25</v>
      </c>
      <c r="N9" s="7">
        <v>54</v>
      </c>
      <c r="R9" s="7" t="s">
        <v>171</v>
      </c>
      <c r="S9" s="7">
        <v>10.92</v>
      </c>
      <c r="T9" s="7">
        <v>102.67</v>
      </c>
      <c r="U9" s="7"/>
      <c r="V9" s="7">
        <v>18.670000000000002</v>
      </c>
      <c r="W9" s="7"/>
    </row>
    <row r="10" spans="2:23">
      <c r="B10" s="23" t="s">
        <v>172</v>
      </c>
      <c r="C10" s="7">
        <v>16.5</v>
      </c>
      <c r="D10" s="7">
        <v>7.42</v>
      </c>
      <c r="E10" s="7"/>
      <c r="F10" s="7"/>
      <c r="G10" s="7">
        <v>2.42</v>
      </c>
      <c r="I10" s="7" t="s">
        <v>172</v>
      </c>
      <c r="J10" s="7">
        <v>29.83</v>
      </c>
      <c r="K10" s="7">
        <v>807.94</v>
      </c>
      <c r="L10" s="7"/>
      <c r="M10" s="7">
        <v>80.67</v>
      </c>
      <c r="N10" s="7">
        <v>60.25</v>
      </c>
      <c r="R10" s="7" t="s">
        <v>172</v>
      </c>
      <c r="S10" s="7">
        <v>9.5</v>
      </c>
      <c r="T10" s="7">
        <v>145.21</v>
      </c>
      <c r="U10" s="7"/>
      <c r="V10" s="7">
        <v>32.92</v>
      </c>
      <c r="W10" s="7">
        <v>78.78</v>
      </c>
    </row>
    <row r="11" spans="2:23">
      <c r="B11" s="7" t="s">
        <v>173</v>
      </c>
      <c r="C11" s="7">
        <v>22.25</v>
      </c>
      <c r="D11" s="7">
        <v>9.92</v>
      </c>
      <c r="E11" s="7"/>
      <c r="F11" s="7"/>
      <c r="G11" s="7">
        <v>2.83</v>
      </c>
      <c r="I11" s="7" t="s">
        <v>173</v>
      </c>
      <c r="J11" s="7">
        <v>41.33</v>
      </c>
      <c r="K11" s="7">
        <v>789.49</v>
      </c>
      <c r="L11" s="7"/>
      <c r="M11" s="7">
        <v>81.75</v>
      </c>
      <c r="N11" s="7">
        <v>64.75</v>
      </c>
      <c r="R11" s="7" t="s">
        <v>173</v>
      </c>
      <c r="S11" s="7">
        <v>9.25</v>
      </c>
      <c r="T11" s="7">
        <v>173.45</v>
      </c>
      <c r="U11" s="7"/>
      <c r="V11" s="7">
        <v>30.17</v>
      </c>
      <c r="W11" s="7">
        <v>73.53</v>
      </c>
    </row>
    <row r="12" spans="2:23">
      <c r="B12" s="7" t="s">
        <v>174</v>
      </c>
      <c r="C12" s="7">
        <v>19.75</v>
      </c>
      <c r="D12" s="7">
        <v>18.600000000000001</v>
      </c>
      <c r="E12" s="7"/>
      <c r="F12" s="7"/>
      <c r="G12" s="7">
        <v>3.17</v>
      </c>
      <c r="I12" s="7" t="s">
        <v>174</v>
      </c>
      <c r="J12" s="7">
        <v>35.08</v>
      </c>
      <c r="K12" s="7">
        <v>785.4</v>
      </c>
      <c r="L12" s="7"/>
      <c r="M12" s="7">
        <v>90.92</v>
      </c>
      <c r="N12" s="7">
        <v>70.75</v>
      </c>
      <c r="R12" s="7" t="s">
        <v>174</v>
      </c>
      <c r="S12" s="7">
        <v>15.08</v>
      </c>
      <c r="T12" s="7">
        <v>156.22999999999999</v>
      </c>
      <c r="U12" s="7"/>
      <c r="V12" s="7">
        <v>33.25</v>
      </c>
      <c r="W12" s="7">
        <v>80.5</v>
      </c>
    </row>
    <row r="13" spans="2:23">
      <c r="B13" s="7" t="s">
        <v>175</v>
      </c>
      <c r="C13" s="7">
        <v>18.079999999999998</v>
      </c>
      <c r="D13" s="7">
        <v>12.1</v>
      </c>
      <c r="E13" s="7"/>
      <c r="F13" s="7"/>
      <c r="G13" s="7">
        <v>8.09</v>
      </c>
      <c r="I13" s="7" t="s">
        <v>175</v>
      </c>
      <c r="J13" s="7">
        <v>36.28</v>
      </c>
      <c r="K13" s="7">
        <v>661.66</v>
      </c>
      <c r="L13" s="7"/>
      <c r="M13" s="7">
        <v>79.58</v>
      </c>
      <c r="N13" s="7">
        <v>56.75</v>
      </c>
      <c r="R13" s="7" t="s">
        <v>175</v>
      </c>
      <c r="S13" s="7">
        <v>13.25</v>
      </c>
      <c r="T13" s="7">
        <v>114.64</v>
      </c>
      <c r="U13" s="7"/>
      <c r="V13" s="7">
        <v>19.02</v>
      </c>
      <c r="W13" s="7">
        <v>63.58</v>
      </c>
    </row>
    <row r="14" spans="2:23">
      <c r="B14" s="7" t="s">
        <v>176</v>
      </c>
      <c r="C14" s="7">
        <v>24.67</v>
      </c>
      <c r="D14" s="7">
        <v>11.83</v>
      </c>
      <c r="E14" s="7"/>
      <c r="F14" s="7"/>
      <c r="G14" s="7">
        <v>5.2</v>
      </c>
      <c r="I14" s="7" t="s">
        <v>176</v>
      </c>
      <c r="J14" s="7">
        <v>38.72</v>
      </c>
      <c r="K14" s="7">
        <v>693.8</v>
      </c>
      <c r="L14" s="7"/>
      <c r="M14" s="7">
        <v>92.78</v>
      </c>
      <c r="N14" s="7">
        <v>70.08</v>
      </c>
      <c r="R14" s="7" t="s">
        <v>176</v>
      </c>
      <c r="S14" s="7">
        <v>16</v>
      </c>
      <c r="T14" s="7">
        <v>152.41999999999999</v>
      </c>
      <c r="U14" s="7"/>
      <c r="V14" s="7">
        <v>27.08</v>
      </c>
      <c r="W14" s="7">
        <v>69.75</v>
      </c>
    </row>
    <row r="15" spans="2:23">
      <c r="B15" s="7" t="s">
        <v>177</v>
      </c>
      <c r="C15" s="7">
        <v>27.83</v>
      </c>
      <c r="D15" s="7">
        <v>11.07</v>
      </c>
      <c r="E15" s="7"/>
      <c r="F15" s="7"/>
      <c r="G15" s="7">
        <v>10.15</v>
      </c>
      <c r="I15" s="7" t="s">
        <v>177</v>
      </c>
      <c r="J15" s="7">
        <v>43.83</v>
      </c>
      <c r="K15" s="7">
        <v>718.41</v>
      </c>
      <c r="L15" s="7"/>
      <c r="M15" s="7">
        <v>80.75</v>
      </c>
      <c r="N15" s="7">
        <v>73.58</v>
      </c>
      <c r="R15" s="7" t="s">
        <v>177</v>
      </c>
      <c r="S15" s="7">
        <v>8.58</v>
      </c>
      <c r="T15" s="7">
        <v>128.05000000000001</v>
      </c>
      <c r="U15" s="7"/>
      <c r="V15" s="7">
        <v>21</v>
      </c>
      <c r="W15" s="7">
        <v>72.98</v>
      </c>
    </row>
    <row r="16" spans="2:23">
      <c r="B16" s="7" t="s">
        <v>178</v>
      </c>
      <c r="C16" s="7">
        <v>26.17</v>
      </c>
      <c r="D16" s="7">
        <v>15</v>
      </c>
      <c r="E16" s="7"/>
      <c r="F16" s="7"/>
      <c r="G16" s="7">
        <v>21.54</v>
      </c>
      <c r="I16" s="7" t="s">
        <v>178</v>
      </c>
      <c r="J16" s="7">
        <v>18.670000000000002</v>
      </c>
      <c r="K16" s="7">
        <v>802.71</v>
      </c>
      <c r="L16" s="7"/>
      <c r="M16" s="7">
        <v>83.83</v>
      </c>
      <c r="N16" s="7">
        <v>59.75</v>
      </c>
      <c r="R16" s="7" t="s">
        <v>178</v>
      </c>
      <c r="S16" s="7">
        <v>6.08</v>
      </c>
      <c r="T16" s="7">
        <v>167</v>
      </c>
      <c r="U16" s="7"/>
      <c r="V16" s="7">
        <v>20.5</v>
      </c>
      <c r="W16" s="7">
        <v>64.17</v>
      </c>
    </row>
    <row r="17" spans="2:26">
      <c r="B17" t="s">
        <v>179</v>
      </c>
      <c r="C17" s="25">
        <f>AVERAGE(C5:C16)</f>
        <v>22.186666666666667</v>
      </c>
      <c r="D17" s="25">
        <f>AVERAGE(D5:D16)</f>
        <v>11.328333333333333</v>
      </c>
      <c r="E17" s="25">
        <f>E19/E18*23000</f>
        <v>380.19400684931492</v>
      </c>
      <c r="F17" s="25">
        <f>F19/F18*23000</f>
        <v>176.81333333333336</v>
      </c>
      <c r="G17" s="25">
        <f>AVERAGE(G10:G16)</f>
        <v>7.6285714285714281</v>
      </c>
      <c r="H17" s="25"/>
      <c r="I17" t="s">
        <v>179</v>
      </c>
      <c r="J17" s="25">
        <f t="shared" ref="J17:K17" si="0">AVERAGE(J5:J16)</f>
        <v>32.783333333333331</v>
      </c>
      <c r="K17" s="25">
        <f t="shared" si="0"/>
        <v>732.54752075550005</v>
      </c>
      <c r="L17" s="25">
        <f>L19/L18*23000-N17</f>
        <v>217.63666666666683</v>
      </c>
      <c r="M17" s="192">
        <f>AVERAGE(M10:M16)</f>
        <v>84.325714285714298</v>
      </c>
      <c r="N17" s="25">
        <f>AVERAGE(N5:N16)</f>
        <v>61.561666666666667</v>
      </c>
      <c r="O17" s="25"/>
      <c r="P17" s="25"/>
      <c r="Q17" s="25"/>
      <c r="R17" t="s">
        <v>179</v>
      </c>
      <c r="S17" s="25">
        <f t="shared" ref="S17:V17" si="1">AVERAGE(S5:S16)</f>
        <v>12.402500000000003</v>
      </c>
      <c r="T17" s="25">
        <f t="shared" si="1"/>
        <v>143.55416666666667</v>
      </c>
      <c r="U17" s="25">
        <f>U19/U18*23000</f>
        <v>137.41249999933322</v>
      </c>
      <c r="V17" s="25">
        <f t="shared" si="1"/>
        <v>24.897500000000004</v>
      </c>
      <c r="W17" s="192">
        <f>AVERAGE(W10:W16)</f>
        <v>71.898571428571429</v>
      </c>
    </row>
    <row r="18" spans="2:26">
      <c r="B18" t="s">
        <v>180</v>
      </c>
      <c r="C18" s="163">
        <v>82000</v>
      </c>
      <c r="D18" s="163">
        <v>82600</v>
      </c>
      <c r="E18">
        <v>80300</v>
      </c>
      <c r="F18">
        <v>50000</v>
      </c>
      <c r="I18" t="s">
        <v>180</v>
      </c>
      <c r="J18" s="163"/>
      <c r="L18">
        <v>50000</v>
      </c>
      <c r="R18" t="s">
        <v>180</v>
      </c>
      <c r="S18" s="163">
        <v>82600</v>
      </c>
      <c r="U18">
        <v>50000</v>
      </c>
      <c r="V18">
        <v>80300</v>
      </c>
    </row>
    <row r="19" spans="2:26">
      <c r="B19" t="s">
        <v>181</v>
      </c>
      <c r="C19" s="21">
        <f>C17*C18/23000</f>
        <v>79.100289855072461</v>
      </c>
      <c r="D19" s="21">
        <f>D17*D18/23000</f>
        <v>40.683492753623192</v>
      </c>
      <c r="E19" s="164">
        <f>C24-C19-D19</f>
        <v>1327.3729891304342</v>
      </c>
      <c r="F19" s="164">
        <f>D24</f>
        <v>384.37681159420299</v>
      </c>
      <c r="G19" s="164"/>
      <c r="I19" t="s">
        <v>181</v>
      </c>
      <c r="J19" s="21"/>
      <c r="K19" s="164"/>
      <c r="L19" s="164">
        <f>D25</f>
        <v>606.95289855072497</v>
      </c>
      <c r="R19" t="s">
        <v>181</v>
      </c>
      <c r="S19" s="21">
        <f>S17*S18/23000</f>
        <v>44.541152173913055</v>
      </c>
      <c r="T19" s="164">
        <f>C26-S19-V19</f>
        <v>723.63264855072498</v>
      </c>
      <c r="U19" s="164">
        <f>D26</f>
        <v>298.72282608550699</v>
      </c>
      <c r="V19" s="21">
        <f>V17*V18/23000</f>
        <v>86.924750000000017</v>
      </c>
    </row>
    <row r="20" spans="2:26">
      <c r="B20" t="s">
        <v>182</v>
      </c>
      <c r="C20" s="21">
        <v>1</v>
      </c>
      <c r="D20" s="21">
        <v>1</v>
      </c>
      <c r="E20" s="21">
        <v>20</v>
      </c>
      <c r="F20" s="21">
        <v>11</v>
      </c>
      <c r="G20" s="21"/>
      <c r="H20" s="21">
        <f>SUM(C20:F20)</f>
        <v>33</v>
      </c>
      <c r="I20" t="s">
        <v>182</v>
      </c>
      <c r="J20" s="21">
        <v>1</v>
      </c>
      <c r="K20" s="21">
        <v>20</v>
      </c>
      <c r="L20" s="21">
        <v>8</v>
      </c>
      <c r="M20" s="21"/>
      <c r="N20" s="21"/>
      <c r="O20" s="21"/>
      <c r="P20" s="21"/>
      <c r="Q20" s="21"/>
      <c r="R20" t="s">
        <v>182</v>
      </c>
      <c r="S20" s="21">
        <v>1</v>
      </c>
      <c r="T20" s="21">
        <v>6</v>
      </c>
      <c r="U20" s="21">
        <v>7</v>
      </c>
      <c r="V20" s="21">
        <v>1</v>
      </c>
      <c r="W20" s="21">
        <f>SUM(S20:V20)</f>
        <v>15</v>
      </c>
    </row>
    <row r="21" spans="2:26">
      <c r="B21" s="165" t="s">
        <v>20</v>
      </c>
      <c r="C21" s="166">
        <f t="shared" ref="C21:F21" si="2">C17/C20</f>
        <v>22.186666666666667</v>
      </c>
      <c r="D21" s="166">
        <f t="shared" si="2"/>
        <v>11.328333333333333</v>
      </c>
      <c r="E21" s="166">
        <f t="shared" si="2"/>
        <v>19.009700342465745</v>
      </c>
      <c r="F21" s="166">
        <f t="shared" si="2"/>
        <v>16.073939393939398</v>
      </c>
      <c r="G21" s="166"/>
      <c r="I21" s="165" t="s">
        <v>20</v>
      </c>
      <c r="J21" s="166">
        <f>J17/J20</f>
        <v>32.783333333333331</v>
      </c>
      <c r="K21" s="166">
        <f>(K17+M17)/K20</f>
        <v>40.843661752060719</v>
      </c>
      <c r="L21" s="245">
        <f>(L17+N17)/L20</f>
        <v>34.899791666666687</v>
      </c>
      <c r="R21" s="165" t="s">
        <v>20</v>
      </c>
      <c r="S21" s="166">
        <f t="shared" ref="S21:V21" si="3">S17/S20</f>
        <v>12.402500000000003</v>
      </c>
      <c r="T21" s="166">
        <f t="shared" si="3"/>
        <v>23.925694444444446</v>
      </c>
      <c r="U21" s="193">
        <f t="shared" si="3"/>
        <v>19.630357142761888</v>
      </c>
      <c r="V21" s="166">
        <f t="shared" si="3"/>
        <v>24.897500000000004</v>
      </c>
    </row>
    <row r="22" spans="2:26">
      <c r="L22" s="21">
        <f>L17/7</f>
        <v>31.090952380952405</v>
      </c>
      <c r="U22" s="21">
        <f>(U17+V17)/8</f>
        <v>20.288749999916654</v>
      </c>
    </row>
    <row r="23" spans="2:26">
      <c r="B23" s="167"/>
      <c r="C23" s="168" t="s">
        <v>4</v>
      </c>
      <c r="D23" s="168" t="s">
        <v>5</v>
      </c>
      <c r="E23" s="168" t="s">
        <v>48</v>
      </c>
      <c r="F23" s="168"/>
      <c r="G23" s="169"/>
    </row>
    <row r="24" spans="2:26">
      <c r="B24" s="170" t="s">
        <v>10</v>
      </c>
      <c r="C24" s="171">
        <v>1447.1567717391299</v>
      </c>
      <c r="D24" s="171">
        <v>384.37681159420299</v>
      </c>
      <c r="E24" s="171">
        <f t="shared" ref="E24:E27" si="4">SUM(C24:D24)</f>
        <v>1831.5335833333329</v>
      </c>
      <c r="F24" s="171"/>
      <c r="G24" s="172"/>
    </row>
    <row r="25" spans="2:26">
      <c r="B25" s="170" t="s">
        <v>15</v>
      </c>
      <c r="C25" s="171">
        <v>2982.9960362318802</v>
      </c>
      <c r="D25" s="171">
        <v>606.95289855072497</v>
      </c>
      <c r="E25" s="171">
        <f t="shared" si="4"/>
        <v>3589.9489347826052</v>
      </c>
      <c r="F25" s="171"/>
      <c r="G25" s="172"/>
    </row>
    <row r="26" spans="2:26">
      <c r="B26" s="170" t="s">
        <v>17</v>
      </c>
      <c r="C26" s="171">
        <v>855.09855072463802</v>
      </c>
      <c r="D26" s="171">
        <v>298.72282608550699</v>
      </c>
      <c r="E26" s="171">
        <f t="shared" si="4"/>
        <v>1153.821376810145</v>
      </c>
      <c r="F26" s="171"/>
      <c r="G26" s="172"/>
    </row>
    <row r="27" spans="2:26">
      <c r="B27" s="173" t="s">
        <v>111</v>
      </c>
      <c r="C27" s="174">
        <f>+C24+C25+C26</f>
        <v>5285.2513586956475</v>
      </c>
      <c r="D27" s="174">
        <f>+D24+D25+D26</f>
        <v>1290.052536230435</v>
      </c>
      <c r="E27" s="171">
        <f t="shared" si="4"/>
        <v>6575.3038949260826</v>
      </c>
      <c r="F27" s="171"/>
      <c r="G27" s="172"/>
    </row>
    <row r="29" spans="2:26">
      <c r="B29" s="175" t="s">
        <v>183</v>
      </c>
      <c r="I29" s="22" t="s">
        <v>184</v>
      </c>
    </row>
    <row r="30" spans="2:26">
      <c r="B30" s="175"/>
    </row>
    <row r="31" spans="2:26" s="161" customFormat="1" ht="18" customHeight="1">
      <c r="C31" s="312" t="s">
        <v>185</v>
      </c>
      <c r="D31" s="312"/>
      <c r="E31" s="312" t="s">
        <v>159</v>
      </c>
      <c r="F31" s="312"/>
      <c r="G31" s="177"/>
      <c r="J31" s="312" t="s">
        <v>159</v>
      </c>
      <c r="K31" s="312"/>
      <c r="L31" s="317" t="s">
        <v>163</v>
      </c>
      <c r="M31" s="317"/>
      <c r="N31" s="317" t="s">
        <v>162</v>
      </c>
      <c r="O31" s="317"/>
      <c r="T31" s="312" t="s">
        <v>159</v>
      </c>
      <c r="U31" s="312"/>
      <c r="V31" s="315" t="s">
        <v>186</v>
      </c>
      <c r="W31" s="316"/>
      <c r="Y31" s="315" t="s">
        <v>187</v>
      </c>
      <c r="Z31" s="316"/>
    </row>
    <row r="32" spans="2:26" s="160" customFormat="1" ht="30">
      <c r="B32" s="178" t="s">
        <v>10</v>
      </c>
      <c r="C32" s="162" t="s">
        <v>188</v>
      </c>
      <c r="D32" s="176" t="s">
        <v>189</v>
      </c>
      <c r="E32" s="162" t="s">
        <v>188</v>
      </c>
      <c r="F32" s="176" t="s">
        <v>189</v>
      </c>
      <c r="G32" s="177"/>
      <c r="I32" s="178" t="s">
        <v>15</v>
      </c>
      <c r="J32" s="162" t="s">
        <v>188</v>
      </c>
      <c r="K32" s="176" t="s">
        <v>189</v>
      </c>
      <c r="L32" s="162" t="s">
        <v>188</v>
      </c>
      <c r="M32" s="176" t="s">
        <v>189</v>
      </c>
      <c r="N32" s="162" t="s">
        <v>188</v>
      </c>
      <c r="O32" s="176" t="s">
        <v>189</v>
      </c>
      <c r="P32" s="185"/>
      <c r="Q32" s="185"/>
      <c r="S32" s="194" t="s">
        <v>17</v>
      </c>
      <c r="T32" s="162" t="s">
        <v>188</v>
      </c>
      <c r="U32" s="176" t="s">
        <v>189</v>
      </c>
      <c r="V32" s="162" t="s">
        <v>188</v>
      </c>
      <c r="W32" s="176" t="s">
        <v>189</v>
      </c>
      <c r="Y32" s="162" t="s">
        <v>188</v>
      </c>
      <c r="Z32" s="176" t="s">
        <v>189</v>
      </c>
    </row>
    <row r="33" spans="2:26">
      <c r="B33" s="7" t="s">
        <v>167</v>
      </c>
      <c r="C33" s="7">
        <v>0</v>
      </c>
      <c r="D33" s="7">
        <v>0</v>
      </c>
      <c r="E33" s="179">
        <v>0</v>
      </c>
      <c r="F33" s="7">
        <v>0</v>
      </c>
      <c r="I33" s="7" t="s">
        <v>167</v>
      </c>
      <c r="J33" s="7">
        <v>61</v>
      </c>
      <c r="K33" s="7">
        <v>1.5</v>
      </c>
      <c r="L33" s="7"/>
      <c r="M33" s="7">
        <f t="shared" ref="M33:M44" si="5">+P33-O33-K33</f>
        <v>2</v>
      </c>
      <c r="N33" s="186">
        <v>1039</v>
      </c>
      <c r="O33" s="138">
        <v>2</v>
      </c>
      <c r="P33" s="118">
        <v>5.5</v>
      </c>
      <c r="Q33" s="118"/>
      <c r="S33" s="7" t="s">
        <v>167</v>
      </c>
      <c r="T33" s="7">
        <v>61</v>
      </c>
      <c r="U33" s="7">
        <v>1.5</v>
      </c>
      <c r="V33" s="7"/>
      <c r="W33" s="7">
        <v>1</v>
      </c>
      <c r="Y33" s="7">
        <v>0</v>
      </c>
      <c r="Z33" s="7">
        <v>0</v>
      </c>
    </row>
    <row r="34" spans="2:26">
      <c r="B34" s="7" t="s">
        <v>168</v>
      </c>
      <c r="C34" s="7">
        <v>32</v>
      </c>
      <c r="D34" s="7">
        <v>0</v>
      </c>
      <c r="E34" s="179">
        <v>30</v>
      </c>
      <c r="F34" s="7">
        <v>0.5</v>
      </c>
      <c r="I34" s="7" t="s">
        <v>168</v>
      </c>
      <c r="J34" s="7">
        <v>0</v>
      </c>
      <c r="K34" s="7">
        <v>0</v>
      </c>
      <c r="L34" s="7"/>
      <c r="M34" s="7">
        <f t="shared" si="5"/>
        <v>9</v>
      </c>
      <c r="N34" s="179">
        <v>1844</v>
      </c>
      <c r="O34" s="7">
        <v>3</v>
      </c>
      <c r="P34" s="118">
        <v>12</v>
      </c>
      <c r="Q34" s="118"/>
      <c r="S34" s="7" t="s">
        <v>168</v>
      </c>
      <c r="T34" s="7">
        <v>60</v>
      </c>
      <c r="U34" s="7">
        <v>0.5</v>
      </c>
      <c r="V34" s="7"/>
      <c r="W34" s="7">
        <v>2</v>
      </c>
      <c r="Y34" s="7">
        <v>0</v>
      </c>
      <c r="Z34" s="7">
        <v>0</v>
      </c>
    </row>
    <row r="35" spans="2:26">
      <c r="B35" s="7" t="s">
        <v>169</v>
      </c>
      <c r="C35" s="7">
        <v>0</v>
      </c>
      <c r="D35" s="7">
        <v>0</v>
      </c>
      <c r="E35" s="179">
        <v>0</v>
      </c>
      <c r="F35" s="7">
        <v>0</v>
      </c>
      <c r="I35" s="7" t="s">
        <v>169</v>
      </c>
      <c r="J35" s="7">
        <v>0</v>
      </c>
      <c r="K35" s="7">
        <v>0</v>
      </c>
      <c r="L35" s="7"/>
      <c r="M35" s="7">
        <f t="shared" si="5"/>
        <v>1</v>
      </c>
      <c r="N35" s="179">
        <v>1550</v>
      </c>
      <c r="O35" s="7">
        <v>3</v>
      </c>
      <c r="P35" s="118">
        <v>4</v>
      </c>
      <c r="Q35" s="118"/>
      <c r="S35" s="7" t="s">
        <v>169</v>
      </c>
      <c r="T35" s="7">
        <v>0</v>
      </c>
      <c r="U35" s="7">
        <v>0</v>
      </c>
      <c r="V35" s="7"/>
      <c r="W35" s="7">
        <v>4</v>
      </c>
      <c r="Y35" s="7">
        <v>0</v>
      </c>
      <c r="Z35" s="7">
        <v>0</v>
      </c>
    </row>
    <row r="36" spans="2:26">
      <c r="B36" s="7" t="s">
        <v>170</v>
      </c>
      <c r="C36" s="7">
        <v>0</v>
      </c>
      <c r="D36" s="7">
        <v>0</v>
      </c>
      <c r="E36" s="7">
        <v>0</v>
      </c>
      <c r="F36" s="7">
        <v>0</v>
      </c>
      <c r="I36" s="7" t="s">
        <v>170</v>
      </c>
      <c r="J36" s="7">
        <v>0</v>
      </c>
      <c r="K36" s="7">
        <v>0</v>
      </c>
      <c r="L36" s="7"/>
      <c r="M36" s="7">
        <f t="shared" si="5"/>
        <v>2</v>
      </c>
      <c r="N36" s="179">
        <v>2300</v>
      </c>
      <c r="O36" s="7">
        <v>4</v>
      </c>
      <c r="P36" s="118">
        <v>6</v>
      </c>
      <c r="Q36" s="118"/>
      <c r="S36" s="7" t="s">
        <v>170</v>
      </c>
      <c r="T36" s="7">
        <v>0</v>
      </c>
      <c r="U36" s="7">
        <v>0</v>
      </c>
      <c r="V36" s="7"/>
      <c r="W36" s="7">
        <v>3.5</v>
      </c>
      <c r="Y36" s="7">
        <v>0</v>
      </c>
      <c r="Z36" s="7">
        <v>0</v>
      </c>
    </row>
    <row r="37" spans="2:26">
      <c r="B37" s="7" t="s">
        <v>171</v>
      </c>
      <c r="C37" s="7">
        <v>0</v>
      </c>
      <c r="D37" s="7">
        <v>0</v>
      </c>
      <c r="E37" s="7">
        <v>0</v>
      </c>
      <c r="F37" s="7">
        <v>0</v>
      </c>
      <c r="I37" s="7" t="s">
        <v>171</v>
      </c>
      <c r="J37" s="7">
        <v>0</v>
      </c>
      <c r="K37" s="7">
        <v>0</v>
      </c>
      <c r="L37" s="7"/>
      <c r="M37" s="7">
        <f t="shared" si="5"/>
        <v>4</v>
      </c>
      <c r="N37" s="179">
        <v>1850</v>
      </c>
      <c r="O37" s="7">
        <v>3</v>
      </c>
      <c r="P37" s="118">
        <v>7</v>
      </c>
      <c r="Q37" s="118"/>
      <c r="S37" s="7" t="s">
        <v>171</v>
      </c>
      <c r="T37" s="7">
        <v>0</v>
      </c>
      <c r="U37" s="7">
        <v>0</v>
      </c>
      <c r="V37" s="7"/>
      <c r="W37" s="7">
        <v>1</v>
      </c>
      <c r="Y37" s="7">
        <v>0</v>
      </c>
      <c r="Z37" s="7">
        <v>0</v>
      </c>
    </row>
    <row r="38" spans="2:26">
      <c r="B38" s="7" t="s">
        <v>172</v>
      </c>
      <c r="C38" s="7">
        <v>0</v>
      </c>
      <c r="D38" s="7">
        <v>0</v>
      </c>
      <c r="E38" s="7">
        <v>0</v>
      </c>
      <c r="F38" s="7">
        <v>0</v>
      </c>
      <c r="I38" s="7" t="s">
        <v>172</v>
      </c>
      <c r="J38" s="7">
        <v>0</v>
      </c>
      <c r="K38" s="7">
        <v>0</v>
      </c>
      <c r="L38" s="7"/>
      <c r="M38" s="7">
        <f t="shared" si="5"/>
        <v>5</v>
      </c>
      <c r="N38" s="179">
        <v>2050</v>
      </c>
      <c r="O38" s="7">
        <v>3</v>
      </c>
      <c r="P38" s="118">
        <v>8</v>
      </c>
      <c r="Q38" s="118"/>
      <c r="S38" s="7" t="s">
        <v>172</v>
      </c>
      <c r="T38" s="7">
        <v>0</v>
      </c>
      <c r="U38" s="7">
        <v>0</v>
      </c>
      <c r="V38" s="7"/>
      <c r="W38" s="7">
        <v>2</v>
      </c>
      <c r="Y38" s="7">
        <v>81</v>
      </c>
      <c r="Z38" s="7">
        <v>1</v>
      </c>
    </row>
    <row r="39" spans="2:26">
      <c r="B39" s="7" t="s">
        <v>173</v>
      </c>
      <c r="C39" s="7">
        <v>0</v>
      </c>
      <c r="D39" s="7">
        <v>1</v>
      </c>
      <c r="E39" s="7">
        <v>0</v>
      </c>
      <c r="F39" s="7">
        <v>0</v>
      </c>
      <c r="I39" s="7" t="s">
        <v>173</v>
      </c>
      <c r="J39" s="7">
        <v>0</v>
      </c>
      <c r="K39" s="7">
        <v>1</v>
      </c>
      <c r="L39" s="7"/>
      <c r="M39" s="7">
        <f t="shared" si="5"/>
        <v>2</v>
      </c>
      <c r="N39" s="179">
        <v>2050</v>
      </c>
      <c r="O39" s="7">
        <v>4</v>
      </c>
      <c r="P39" s="118">
        <v>7</v>
      </c>
      <c r="Q39" s="118"/>
      <c r="S39" s="7" t="s">
        <v>173</v>
      </c>
      <c r="T39" s="7">
        <v>0</v>
      </c>
      <c r="U39" s="7">
        <v>0</v>
      </c>
      <c r="V39" s="7"/>
      <c r="W39" s="7">
        <v>3</v>
      </c>
      <c r="Y39" s="7">
        <v>0</v>
      </c>
      <c r="Z39" s="7">
        <v>0</v>
      </c>
    </row>
    <row r="40" spans="2:26">
      <c r="B40" s="7" t="s">
        <v>174</v>
      </c>
      <c r="C40" s="7">
        <v>0</v>
      </c>
      <c r="D40" s="7">
        <v>0</v>
      </c>
      <c r="E40" s="179">
        <v>29</v>
      </c>
      <c r="F40" s="7">
        <v>0</v>
      </c>
      <c r="I40" s="7" t="s">
        <v>174</v>
      </c>
      <c r="J40" s="7">
        <v>0</v>
      </c>
      <c r="K40" s="7">
        <v>0</v>
      </c>
      <c r="L40" s="7"/>
      <c r="M40" s="7">
        <f t="shared" si="5"/>
        <v>7</v>
      </c>
      <c r="N40" s="179">
        <v>2120</v>
      </c>
      <c r="O40" s="7">
        <v>4</v>
      </c>
      <c r="P40" s="118">
        <v>11</v>
      </c>
      <c r="Q40" s="118"/>
      <c r="S40" s="7" t="s">
        <v>174</v>
      </c>
      <c r="T40" s="7">
        <v>0</v>
      </c>
      <c r="U40" s="7">
        <v>0</v>
      </c>
      <c r="V40" s="7"/>
      <c r="W40" s="7">
        <v>2</v>
      </c>
      <c r="Y40" s="7">
        <v>78</v>
      </c>
      <c r="Z40" s="7">
        <v>0</v>
      </c>
    </row>
    <row r="41" spans="2:26">
      <c r="B41" s="7" t="s">
        <v>175</v>
      </c>
      <c r="C41" s="7">
        <v>0</v>
      </c>
      <c r="D41" s="7">
        <v>1</v>
      </c>
      <c r="E41" s="179">
        <v>0</v>
      </c>
      <c r="F41" s="7">
        <v>0</v>
      </c>
      <c r="I41" s="7" t="s">
        <v>175</v>
      </c>
      <c r="J41" s="7">
        <v>0</v>
      </c>
      <c r="K41" s="7">
        <v>0</v>
      </c>
      <c r="L41" s="7"/>
      <c r="M41" s="7">
        <f t="shared" si="5"/>
        <v>9.5</v>
      </c>
      <c r="N41" s="179">
        <v>2300</v>
      </c>
      <c r="O41" s="7">
        <v>4</v>
      </c>
      <c r="P41" s="118">
        <v>13.5</v>
      </c>
      <c r="Q41" s="118"/>
      <c r="S41" s="7" t="s">
        <v>175</v>
      </c>
      <c r="T41" s="7">
        <v>0</v>
      </c>
      <c r="U41" s="7">
        <v>0</v>
      </c>
      <c r="V41" s="7"/>
      <c r="W41" s="7">
        <v>1</v>
      </c>
      <c r="Y41" s="7">
        <v>0</v>
      </c>
      <c r="Z41" s="7">
        <v>1</v>
      </c>
    </row>
    <row r="42" spans="2:26">
      <c r="B42" s="7" t="s">
        <v>176</v>
      </c>
      <c r="C42" s="7">
        <v>0</v>
      </c>
      <c r="D42" s="7">
        <v>0</v>
      </c>
      <c r="E42" s="7">
        <v>0</v>
      </c>
      <c r="F42" s="7">
        <v>0</v>
      </c>
      <c r="I42" s="7" t="s">
        <v>176</v>
      </c>
      <c r="J42" s="7">
        <v>0</v>
      </c>
      <c r="K42" s="7">
        <v>1</v>
      </c>
      <c r="L42" s="7"/>
      <c r="M42" s="7">
        <f t="shared" si="5"/>
        <v>7</v>
      </c>
      <c r="N42" s="179">
        <v>2338</v>
      </c>
      <c r="O42" s="7">
        <v>5</v>
      </c>
      <c r="P42" s="118">
        <v>13</v>
      </c>
      <c r="Q42" s="118"/>
      <c r="S42" s="7" t="s">
        <v>176</v>
      </c>
      <c r="T42" s="7">
        <v>0</v>
      </c>
      <c r="U42" s="7">
        <v>0</v>
      </c>
      <c r="V42" s="7"/>
      <c r="W42" s="7">
        <v>2</v>
      </c>
      <c r="Y42" s="7">
        <v>154</v>
      </c>
      <c r="Z42" s="7">
        <v>2</v>
      </c>
    </row>
    <row r="43" spans="2:26">
      <c r="B43" s="7" t="s">
        <v>177</v>
      </c>
      <c r="C43" s="7">
        <v>0</v>
      </c>
      <c r="D43" s="7">
        <v>0</v>
      </c>
      <c r="E43" s="7">
        <v>0</v>
      </c>
      <c r="F43" s="7">
        <v>0</v>
      </c>
      <c r="I43" s="7" t="s">
        <v>177</v>
      </c>
      <c r="J43" s="7">
        <v>0</v>
      </c>
      <c r="K43" s="7">
        <v>1</v>
      </c>
      <c r="L43" s="7"/>
      <c r="M43" s="7">
        <f t="shared" si="5"/>
        <v>10</v>
      </c>
      <c r="N43" s="179">
        <v>1734</v>
      </c>
      <c r="O43" s="7">
        <v>4</v>
      </c>
      <c r="P43" s="118">
        <v>15</v>
      </c>
      <c r="Q43" s="118"/>
      <c r="S43" s="7" t="s">
        <v>177</v>
      </c>
      <c r="T43" s="7">
        <v>0</v>
      </c>
      <c r="U43" s="7">
        <v>0</v>
      </c>
      <c r="V43" s="7"/>
      <c r="W43" s="7">
        <v>2</v>
      </c>
      <c r="Y43" s="7">
        <v>0</v>
      </c>
      <c r="Z43" s="7">
        <v>1</v>
      </c>
    </row>
    <row r="44" spans="2:26">
      <c r="B44" s="7" t="s">
        <v>178</v>
      </c>
      <c r="C44" s="7">
        <v>0</v>
      </c>
      <c r="D44" s="7">
        <v>0</v>
      </c>
      <c r="E44" s="7">
        <v>0</v>
      </c>
      <c r="F44" s="7">
        <v>0</v>
      </c>
      <c r="I44" s="7" t="s">
        <v>178</v>
      </c>
      <c r="J44" s="7">
        <v>0</v>
      </c>
      <c r="K44" s="7">
        <v>0</v>
      </c>
      <c r="L44" s="7"/>
      <c r="M44" s="7">
        <f t="shared" si="5"/>
        <v>9</v>
      </c>
      <c r="N44" s="179">
        <v>1737</v>
      </c>
      <c r="O44" s="7">
        <v>4</v>
      </c>
      <c r="P44" s="118">
        <v>13</v>
      </c>
      <c r="Q44" s="118"/>
      <c r="S44" s="7" t="s">
        <v>178</v>
      </c>
      <c r="T44" s="7">
        <v>0</v>
      </c>
      <c r="U44" s="7">
        <v>0</v>
      </c>
      <c r="V44" s="7"/>
      <c r="W44" s="7">
        <v>1.5</v>
      </c>
      <c r="Y44" s="7">
        <v>38</v>
      </c>
      <c r="Z44" s="7">
        <v>1</v>
      </c>
    </row>
    <row r="45" spans="2:26">
      <c r="C45" s="180">
        <f t="shared" ref="C45:F45" si="6">AVERAGE(C33:C44)</f>
        <v>2.6666666666666665</v>
      </c>
      <c r="D45" s="180">
        <f t="shared" si="6"/>
        <v>0.16666666666666666</v>
      </c>
      <c r="E45" s="180">
        <f t="shared" si="6"/>
        <v>4.916666666666667</v>
      </c>
      <c r="F45" s="180">
        <f t="shared" si="6"/>
        <v>4.1666666666666664E-2</v>
      </c>
      <c r="G45" s="180"/>
      <c r="J45" s="180">
        <f t="shared" ref="J45:O45" si="7">AVERAGE(J33:J44)</f>
        <v>5.083333333333333</v>
      </c>
      <c r="K45" s="180">
        <f t="shared" si="7"/>
        <v>0.375</v>
      </c>
      <c r="L45" s="182">
        <f>+L69-N45-J45</f>
        <v>1172.4254385964937</v>
      </c>
      <c r="M45" s="180">
        <f t="shared" si="7"/>
        <v>5.625</v>
      </c>
      <c r="N45" s="182">
        <f t="shared" si="7"/>
        <v>1909.3333333333333</v>
      </c>
      <c r="O45" s="180">
        <f t="shared" si="7"/>
        <v>3.5833333333333335</v>
      </c>
      <c r="T45" s="180">
        <f t="shared" ref="T45:W45" si="8">AVERAGE(T33:T44)</f>
        <v>10.083333333333334</v>
      </c>
      <c r="U45" s="180">
        <f t="shared" si="8"/>
        <v>0.16666666666666666</v>
      </c>
      <c r="V45" s="182">
        <f>+M70</f>
        <v>401.45454545454498</v>
      </c>
      <c r="W45" s="180">
        <f t="shared" si="8"/>
        <v>2.0833333333333335</v>
      </c>
      <c r="Y45" s="180">
        <f>AVERAGE(Y33:Y44)</f>
        <v>29.25</v>
      </c>
      <c r="Z45" s="180">
        <f>AVERAGE(Z33:Z44)</f>
        <v>0.5</v>
      </c>
    </row>
    <row r="46" spans="2:26">
      <c r="B46" t="s">
        <v>190</v>
      </c>
      <c r="I46" t="s">
        <v>190</v>
      </c>
      <c r="S46" t="s">
        <v>190</v>
      </c>
      <c r="V46" s="25">
        <v>5500</v>
      </c>
      <c r="W46" s="25">
        <v>1000000</v>
      </c>
    </row>
    <row r="49" spans="2:24" ht="21.75" customHeight="1">
      <c r="C49" s="317" t="s">
        <v>163</v>
      </c>
      <c r="D49" s="317"/>
      <c r="E49" s="318" t="s">
        <v>162</v>
      </c>
      <c r="F49" s="319"/>
      <c r="G49" s="181"/>
      <c r="J49" s="312" t="s">
        <v>186</v>
      </c>
      <c r="K49" s="312"/>
      <c r="L49" s="317" t="s">
        <v>165</v>
      </c>
      <c r="M49" s="317"/>
      <c r="N49" s="185"/>
      <c r="O49" s="185"/>
      <c r="P49" s="185"/>
      <c r="Q49" s="185"/>
      <c r="T49" s="317" t="s">
        <v>163</v>
      </c>
      <c r="U49" s="317"/>
      <c r="V49" s="317" t="s">
        <v>162</v>
      </c>
      <c r="W49" s="317"/>
    </row>
    <row r="50" spans="2:24" ht="30">
      <c r="B50" s="178" t="s">
        <v>10</v>
      </c>
      <c r="C50" s="162" t="s">
        <v>188</v>
      </c>
      <c r="D50" s="176" t="s">
        <v>189</v>
      </c>
      <c r="E50" s="162" t="s">
        <v>188</v>
      </c>
      <c r="F50" s="176" t="s">
        <v>189</v>
      </c>
      <c r="G50" s="177"/>
      <c r="I50" s="178" t="s">
        <v>15</v>
      </c>
      <c r="J50" s="162" t="s">
        <v>188</v>
      </c>
      <c r="K50" s="176" t="s">
        <v>189</v>
      </c>
      <c r="L50" s="162" t="s">
        <v>188</v>
      </c>
      <c r="M50" s="176" t="s">
        <v>189</v>
      </c>
      <c r="N50" s="187"/>
      <c r="O50" s="187"/>
      <c r="P50" s="187"/>
      <c r="Q50" s="187"/>
      <c r="S50" s="194" t="s">
        <v>17</v>
      </c>
      <c r="T50" s="162" t="s">
        <v>188</v>
      </c>
      <c r="U50" s="176" t="s">
        <v>189</v>
      </c>
      <c r="V50" s="162" t="s">
        <v>188</v>
      </c>
      <c r="W50" s="176" t="s">
        <v>189</v>
      </c>
    </row>
    <row r="51" spans="2:24">
      <c r="B51" s="7" t="s">
        <v>167</v>
      </c>
      <c r="C51" s="179"/>
      <c r="D51" s="7">
        <f t="shared" ref="D51:D62" si="9">+H51-F51-F33-D33</f>
        <v>6.5</v>
      </c>
      <c r="E51" s="179">
        <v>58</v>
      </c>
      <c r="F51" s="7">
        <v>5</v>
      </c>
      <c r="H51">
        <v>11.5</v>
      </c>
      <c r="I51" s="7" t="s">
        <v>167</v>
      </c>
      <c r="J51" s="179">
        <v>521</v>
      </c>
      <c r="K51" s="7">
        <v>1</v>
      </c>
      <c r="L51" s="179">
        <v>1219</v>
      </c>
      <c r="M51" s="7">
        <v>2</v>
      </c>
      <c r="N51" s="118">
        <v>3</v>
      </c>
      <c r="O51" s="118"/>
      <c r="P51" s="118"/>
      <c r="Q51" s="118"/>
      <c r="S51" s="7" t="s">
        <v>167</v>
      </c>
      <c r="T51" s="179">
        <v>133</v>
      </c>
      <c r="U51" s="7">
        <f t="shared" ref="U51:U62" si="10">+X51-W51-U33-Z33</f>
        <v>2</v>
      </c>
      <c r="V51" s="179">
        <v>1665</v>
      </c>
      <c r="W51" s="7">
        <v>4</v>
      </c>
      <c r="X51">
        <v>7.5</v>
      </c>
    </row>
    <row r="52" spans="2:24">
      <c r="B52" s="7" t="s">
        <v>168</v>
      </c>
      <c r="C52" s="179"/>
      <c r="D52" s="7">
        <f t="shared" si="9"/>
        <v>5</v>
      </c>
      <c r="E52" s="179">
        <v>99</v>
      </c>
      <c r="F52" s="7">
        <v>4</v>
      </c>
      <c r="H52">
        <v>9.5</v>
      </c>
      <c r="I52" s="7" t="s">
        <v>168</v>
      </c>
      <c r="J52" s="179">
        <v>216</v>
      </c>
      <c r="K52" s="7">
        <v>1</v>
      </c>
      <c r="L52" s="179">
        <v>1433</v>
      </c>
      <c r="M52" s="7">
        <v>2</v>
      </c>
      <c r="N52" s="118">
        <v>3</v>
      </c>
      <c r="O52" s="118"/>
      <c r="P52" s="118"/>
      <c r="Q52" s="118"/>
      <c r="S52" s="7" t="s">
        <v>168</v>
      </c>
      <c r="T52" s="179">
        <v>152</v>
      </c>
      <c r="U52" s="7">
        <f t="shared" si="10"/>
        <v>1</v>
      </c>
      <c r="V52" s="179">
        <v>1184</v>
      </c>
      <c r="W52" s="7">
        <v>4</v>
      </c>
      <c r="X52">
        <v>5.5</v>
      </c>
    </row>
    <row r="53" spans="2:24">
      <c r="B53" s="7" t="s">
        <v>169</v>
      </c>
      <c r="C53" s="179"/>
      <c r="D53" s="7">
        <f t="shared" si="9"/>
        <v>6</v>
      </c>
      <c r="E53" s="179">
        <v>96</v>
      </c>
      <c r="F53" s="7">
        <v>5</v>
      </c>
      <c r="H53">
        <v>11</v>
      </c>
      <c r="I53" s="7" t="s">
        <v>169</v>
      </c>
      <c r="J53" s="179">
        <v>83</v>
      </c>
      <c r="K53" s="7">
        <v>2</v>
      </c>
      <c r="L53" s="179">
        <v>1266</v>
      </c>
      <c r="M53" s="7">
        <v>3</v>
      </c>
      <c r="N53" s="118">
        <v>5</v>
      </c>
      <c r="O53" s="118"/>
      <c r="P53" s="118"/>
      <c r="Q53" s="118"/>
      <c r="S53" s="7" t="s">
        <v>169</v>
      </c>
      <c r="T53" s="179">
        <v>71</v>
      </c>
      <c r="U53" s="7">
        <f t="shared" si="10"/>
        <v>1</v>
      </c>
      <c r="V53" s="179">
        <v>1554</v>
      </c>
      <c r="W53" s="7">
        <v>4</v>
      </c>
      <c r="X53">
        <v>5</v>
      </c>
    </row>
    <row r="54" spans="2:24">
      <c r="B54" s="7" t="s">
        <v>170</v>
      </c>
      <c r="C54" s="179"/>
      <c r="D54" s="7">
        <f t="shared" si="9"/>
        <v>3</v>
      </c>
      <c r="E54" s="179">
        <v>0</v>
      </c>
      <c r="F54" s="7">
        <v>4</v>
      </c>
      <c r="H54">
        <v>7</v>
      </c>
      <c r="I54" s="7" t="s">
        <v>170</v>
      </c>
      <c r="J54" s="179">
        <v>202</v>
      </c>
      <c r="K54" s="7">
        <v>0.5</v>
      </c>
      <c r="L54" s="179">
        <v>1516</v>
      </c>
      <c r="M54" s="7">
        <v>2</v>
      </c>
      <c r="N54" s="118">
        <v>2.5</v>
      </c>
      <c r="O54" s="118"/>
      <c r="P54" s="118"/>
      <c r="Q54" s="118"/>
      <c r="S54" s="7" t="s">
        <v>170</v>
      </c>
      <c r="T54" s="179">
        <v>135</v>
      </c>
      <c r="U54" s="7">
        <f t="shared" si="10"/>
        <v>1</v>
      </c>
      <c r="V54" s="179">
        <v>1739</v>
      </c>
      <c r="W54" s="7">
        <v>4</v>
      </c>
      <c r="X54">
        <v>5</v>
      </c>
    </row>
    <row r="55" spans="2:24">
      <c r="B55" s="7" t="s">
        <v>171</v>
      </c>
      <c r="C55" s="179"/>
      <c r="D55" s="7">
        <f t="shared" si="9"/>
        <v>4</v>
      </c>
      <c r="E55" s="179">
        <v>0</v>
      </c>
      <c r="F55" s="7">
        <v>5</v>
      </c>
      <c r="H55">
        <v>9</v>
      </c>
      <c r="I55" s="7" t="s">
        <v>171</v>
      </c>
      <c r="J55" s="179">
        <v>243</v>
      </c>
      <c r="K55" s="7">
        <v>2</v>
      </c>
      <c r="L55" s="179">
        <v>1462</v>
      </c>
      <c r="M55" s="7">
        <v>3</v>
      </c>
      <c r="N55" s="118">
        <v>5</v>
      </c>
      <c r="O55" s="118"/>
      <c r="P55" s="118"/>
      <c r="Q55" s="118"/>
      <c r="S55" s="7" t="s">
        <v>171</v>
      </c>
      <c r="T55" s="179">
        <v>246</v>
      </c>
      <c r="U55" s="7">
        <f t="shared" si="10"/>
        <v>3</v>
      </c>
      <c r="V55" s="179">
        <v>1486</v>
      </c>
      <c r="W55" s="7">
        <v>5</v>
      </c>
      <c r="X55">
        <v>8</v>
      </c>
    </row>
    <row r="56" spans="2:24">
      <c r="B56" s="7" t="s">
        <v>172</v>
      </c>
      <c r="C56" s="179"/>
      <c r="D56" s="7">
        <f t="shared" si="9"/>
        <v>6</v>
      </c>
      <c r="E56" s="179">
        <v>36</v>
      </c>
      <c r="F56" s="7">
        <v>5</v>
      </c>
      <c r="H56">
        <v>11</v>
      </c>
      <c r="I56" s="7" t="s">
        <v>172</v>
      </c>
      <c r="J56" s="179">
        <v>286</v>
      </c>
      <c r="K56" s="7">
        <v>1</v>
      </c>
      <c r="L56" s="179">
        <v>1960</v>
      </c>
      <c r="M56" s="7">
        <v>4</v>
      </c>
      <c r="N56" s="118">
        <v>5</v>
      </c>
      <c r="O56" s="118"/>
      <c r="P56" s="118"/>
      <c r="Q56" s="118"/>
      <c r="S56" s="7" t="s">
        <v>172</v>
      </c>
      <c r="T56" s="179">
        <v>260</v>
      </c>
      <c r="U56" s="7">
        <f t="shared" si="10"/>
        <v>2</v>
      </c>
      <c r="V56" s="179">
        <v>2072</v>
      </c>
      <c r="W56" s="7">
        <v>5</v>
      </c>
      <c r="X56">
        <v>8</v>
      </c>
    </row>
    <row r="57" spans="2:24">
      <c r="B57" s="7" t="s">
        <v>173</v>
      </c>
      <c r="C57" s="179"/>
      <c r="D57" s="7">
        <f t="shared" si="9"/>
        <v>4</v>
      </c>
      <c r="E57" s="179">
        <v>50</v>
      </c>
      <c r="F57" s="7">
        <v>5</v>
      </c>
      <c r="H57">
        <v>10</v>
      </c>
      <c r="I57" s="7" t="s">
        <v>173</v>
      </c>
      <c r="J57" s="179">
        <v>376</v>
      </c>
      <c r="K57" s="7">
        <v>0</v>
      </c>
      <c r="L57" s="179">
        <v>1748</v>
      </c>
      <c r="M57" s="7">
        <v>3</v>
      </c>
      <c r="N57" s="118">
        <v>3</v>
      </c>
      <c r="O57" s="118"/>
      <c r="P57" s="118"/>
      <c r="Q57" s="118"/>
      <c r="S57" s="7" t="s">
        <v>173</v>
      </c>
      <c r="T57" s="179">
        <v>0</v>
      </c>
      <c r="U57" s="7">
        <f t="shared" si="10"/>
        <v>0</v>
      </c>
      <c r="V57" s="179">
        <v>1736</v>
      </c>
      <c r="W57" s="7">
        <v>4</v>
      </c>
      <c r="X57">
        <v>4</v>
      </c>
    </row>
    <row r="58" spans="2:24">
      <c r="B58" s="7" t="s">
        <v>174</v>
      </c>
      <c r="C58" s="179"/>
      <c r="D58" s="7">
        <f t="shared" si="9"/>
        <v>2.5</v>
      </c>
      <c r="E58" s="179">
        <v>0</v>
      </c>
      <c r="F58" s="7">
        <v>8</v>
      </c>
      <c r="H58">
        <v>10.5</v>
      </c>
      <c r="I58" s="7" t="s">
        <v>174</v>
      </c>
      <c r="J58" s="179">
        <v>894</v>
      </c>
      <c r="K58" s="7">
        <v>0</v>
      </c>
      <c r="L58" s="179">
        <v>1776</v>
      </c>
      <c r="M58" s="7">
        <v>4</v>
      </c>
      <c r="N58" s="118">
        <v>4</v>
      </c>
      <c r="O58" s="118"/>
      <c r="P58" s="118"/>
      <c r="Q58" s="118"/>
      <c r="S58" s="7" t="s">
        <v>174</v>
      </c>
      <c r="T58" s="179">
        <v>490</v>
      </c>
      <c r="U58" s="7">
        <f t="shared" si="10"/>
        <v>5</v>
      </c>
      <c r="V58" s="179">
        <v>2021</v>
      </c>
      <c r="W58" s="7">
        <v>7</v>
      </c>
      <c r="X58">
        <v>12</v>
      </c>
    </row>
    <row r="59" spans="2:24">
      <c r="B59" s="7" t="s">
        <v>175</v>
      </c>
      <c r="C59" s="179"/>
      <c r="D59" s="7">
        <f t="shared" si="9"/>
        <v>2</v>
      </c>
      <c r="E59" s="179">
        <v>0</v>
      </c>
      <c r="F59" s="7">
        <v>6</v>
      </c>
      <c r="H59">
        <v>9</v>
      </c>
      <c r="I59" s="7" t="s">
        <v>175</v>
      </c>
      <c r="J59" s="179">
        <v>73</v>
      </c>
      <c r="K59" s="7">
        <v>0</v>
      </c>
      <c r="L59" s="179">
        <v>1638</v>
      </c>
      <c r="M59" s="7">
        <v>3</v>
      </c>
      <c r="N59" s="118">
        <v>3</v>
      </c>
      <c r="O59" s="118"/>
      <c r="P59" s="118"/>
      <c r="Q59" s="118"/>
      <c r="S59" s="7" t="s">
        <v>175</v>
      </c>
      <c r="T59" s="179">
        <v>132</v>
      </c>
      <c r="U59" s="7">
        <f t="shared" si="10"/>
        <v>1</v>
      </c>
      <c r="V59" s="179">
        <v>1740</v>
      </c>
      <c r="W59" s="7">
        <v>4</v>
      </c>
      <c r="X59">
        <v>6</v>
      </c>
    </row>
    <row r="60" spans="2:24">
      <c r="B60" s="7" t="s">
        <v>176</v>
      </c>
      <c r="C60" s="179"/>
      <c r="D60" s="7">
        <f t="shared" si="9"/>
        <v>0</v>
      </c>
      <c r="E60" s="179">
        <v>0</v>
      </c>
      <c r="F60" s="7">
        <v>6</v>
      </c>
      <c r="H60">
        <v>6</v>
      </c>
      <c r="I60" s="7" t="s">
        <v>176</v>
      </c>
      <c r="J60" s="179">
        <v>328</v>
      </c>
      <c r="K60" s="7">
        <v>3</v>
      </c>
      <c r="L60" s="179">
        <v>1724</v>
      </c>
      <c r="M60" s="7">
        <v>2</v>
      </c>
      <c r="N60" s="118">
        <v>5</v>
      </c>
      <c r="O60" s="118"/>
      <c r="P60" s="118"/>
      <c r="Q60" s="118"/>
      <c r="S60" s="7" t="s">
        <v>176</v>
      </c>
      <c r="T60" s="179">
        <v>204</v>
      </c>
      <c r="U60" s="7">
        <f t="shared" si="10"/>
        <v>0</v>
      </c>
      <c r="V60" s="179">
        <v>1665</v>
      </c>
      <c r="W60" s="7">
        <v>4</v>
      </c>
      <c r="X60">
        <v>6</v>
      </c>
    </row>
    <row r="61" spans="2:24">
      <c r="B61" s="7" t="s">
        <v>177</v>
      </c>
      <c r="C61" s="179"/>
      <c r="D61" s="7">
        <f t="shared" si="9"/>
        <v>3</v>
      </c>
      <c r="E61" s="179">
        <v>102</v>
      </c>
      <c r="F61" s="7">
        <v>8</v>
      </c>
      <c r="H61">
        <v>11</v>
      </c>
      <c r="I61" s="7" t="s">
        <v>177</v>
      </c>
      <c r="J61" s="179">
        <v>236</v>
      </c>
      <c r="K61" s="7">
        <v>3</v>
      </c>
      <c r="L61" s="179">
        <v>1732</v>
      </c>
      <c r="M61" s="7">
        <v>6</v>
      </c>
      <c r="N61" s="118">
        <v>9</v>
      </c>
      <c r="O61" s="118"/>
      <c r="P61" s="118"/>
      <c r="Q61" s="118"/>
      <c r="S61" s="7" t="s">
        <v>177</v>
      </c>
      <c r="T61" s="179">
        <v>179</v>
      </c>
      <c r="U61" s="7">
        <f t="shared" si="10"/>
        <v>1</v>
      </c>
      <c r="V61" s="179">
        <v>1810</v>
      </c>
      <c r="W61" s="7">
        <v>7</v>
      </c>
      <c r="X61">
        <v>9</v>
      </c>
    </row>
    <row r="62" spans="2:24">
      <c r="B62" s="7" t="s">
        <v>178</v>
      </c>
      <c r="C62" s="179"/>
      <c r="D62" s="7">
        <f t="shared" si="9"/>
        <v>4.5</v>
      </c>
      <c r="E62" s="179">
        <v>75</v>
      </c>
      <c r="F62" s="7">
        <v>5</v>
      </c>
      <c r="H62">
        <v>9.5</v>
      </c>
      <c r="I62" s="7" t="s">
        <v>178</v>
      </c>
      <c r="J62" s="179">
        <v>234</v>
      </c>
      <c r="K62" s="7">
        <v>0.5</v>
      </c>
      <c r="L62" s="179">
        <v>1892</v>
      </c>
      <c r="M62" s="7">
        <v>3</v>
      </c>
      <c r="N62" s="118">
        <v>3.5</v>
      </c>
      <c r="O62" s="118"/>
      <c r="P62" s="118"/>
      <c r="Q62" s="118"/>
      <c r="S62" s="7" t="s">
        <v>178</v>
      </c>
      <c r="T62" s="179">
        <v>123</v>
      </c>
      <c r="U62" s="7">
        <f t="shared" si="10"/>
        <v>2</v>
      </c>
      <c r="V62" s="179">
        <v>1665</v>
      </c>
      <c r="W62" s="7">
        <v>4</v>
      </c>
      <c r="X62">
        <v>7</v>
      </c>
    </row>
    <row r="63" spans="2:24">
      <c r="C63" s="182">
        <f>+K69-E63</f>
        <v>41.736842105263193</v>
      </c>
      <c r="D63" s="182">
        <f t="shared" ref="D63:F63" si="11">AVERAGE(D51:D62)</f>
        <v>3.875</v>
      </c>
      <c r="E63" s="182">
        <f t="shared" si="11"/>
        <v>43</v>
      </c>
      <c r="F63" s="182">
        <f t="shared" si="11"/>
        <v>5.5</v>
      </c>
      <c r="G63" s="182"/>
      <c r="J63" s="182">
        <f t="shared" ref="J63:M63" si="12">AVERAGE(J51:J62)</f>
        <v>307.66666666666669</v>
      </c>
      <c r="K63" s="182">
        <f t="shared" si="12"/>
        <v>1.1666666666666667</v>
      </c>
      <c r="L63" s="182">
        <f t="shared" si="12"/>
        <v>1613.8333333333333</v>
      </c>
      <c r="M63" s="182">
        <f t="shared" si="12"/>
        <v>3.0833333333333335</v>
      </c>
      <c r="T63" s="182">
        <f t="shared" ref="T63:W63" si="13">AVERAGE(T51:T62)</f>
        <v>177.08333333333334</v>
      </c>
      <c r="U63" s="182">
        <f t="shared" si="13"/>
        <v>1.5833333333333333</v>
      </c>
      <c r="V63" s="182">
        <f t="shared" si="13"/>
        <v>1694.75</v>
      </c>
      <c r="W63" s="182">
        <f t="shared" si="13"/>
        <v>4.666666666666667</v>
      </c>
    </row>
    <row r="64" spans="2:24">
      <c r="J64" s="25"/>
      <c r="K64" s="25"/>
      <c r="L64" s="25"/>
      <c r="M64" s="25"/>
      <c r="U64" s="195"/>
      <c r="V64" s="196"/>
      <c r="W64" s="196"/>
    </row>
    <row r="65" spans="4:23">
      <c r="T65" s="195"/>
      <c r="U65" s="195"/>
      <c r="V65" s="196"/>
      <c r="W65" s="196"/>
    </row>
    <row r="66" spans="4:23">
      <c r="T66" s="195"/>
      <c r="U66" s="195"/>
      <c r="V66" s="196"/>
      <c r="W66" s="196"/>
    </row>
    <row r="67" spans="4:23">
      <c r="E67" s="312" t="s">
        <v>186</v>
      </c>
      <c r="F67" s="312"/>
      <c r="G67" s="177"/>
      <c r="J67" t="s">
        <v>183</v>
      </c>
    </row>
    <row r="68" spans="4:23" ht="30">
      <c r="D68" s="178" t="s">
        <v>10</v>
      </c>
      <c r="E68" s="162" t="s">
        <v>188</v>
      </c>
      <c r="F68" s="176" t="s">
        <v>189</v>
      </c>
      <c r="G68" s="177"/>
      <c r="J68" s="204" t="s">
        <v>191</v>
      </c>
      <c r="K68" s="204" t="s">
        <v>10</v>
      </c>
      <c r="L68" s="204" t="s">
        <v>15</v>
      </c>
      <c r="M68" s="204" t="s">
        <v>17</v>
      </c>
    </row>
    <row r="69" spans="4:23">
      <c r="D69" s="7" t="s">
        <v>167</v>
      </c>
      <c r="E69" s="7"/>
      <c r="F69" s="197">
        <v>4</v>
      </c>
      <c r="G69" s="198"/>
      <c r="J69" s="8" t="s">
        <v>4</v>
      </c>
      <c r="K69" s="8">
        <v>84.736842105263193</v>
      </c>
      <c r="L69" s="8">
        <v>3086.8421052631602</v>
      </c>
      <c r="M69" s="8">
        <v>1795.6140350877199</v>
      </c>
    </row>
    <row r="70" spans="4:23">
      <c r="D70" s="7" t="s">
        <v>168</v>
      </c>
      <c r="E70" s="7"/>
      <c r="F70" s="197">
        <v>0</v>
      </c>
      <c r="G70" s="198"/>
      <c r="J70" s="8" t="s">
        <v>5</v>
      </c>
      <c r="K70" s="8">
        <v>4.1818181818181799</v>
      </c>
      <c r="L70" s="8">
        <v>1961.27272727273</v>
      </c>
      <c r="M70" s="8">
        <v>401.45454545454498</v>
      </c>
    </row>
    <row r="71" spans="4:23">
      <c r="D71" s="7" t="s">
        <v>169</v>
      </c>
      <c r="E71" s="7"/>
      <c r="F71" s="197">
        <v>0</v>
      </c>
      <c r="G71" s="198"/>
    </row>
    <row r="72" spans="4:23">
      <c r="D72" s="7" t="s">
        <v>170</v>
      </c>
      <c r="E72" s="7"/>
      <c r="F72" s="197">
        <v>1</v>
      </c>
      <c r="G72" s="198"/>
    </row>
    <row r="73" spans="4:23">
      <c r="D73" s="7" t="s">
        <v>171</v>
      </c>
      <c r="E73" s="7"/>
      <c r="F73" s="197">
        <v>2</v>
      </c>
      <c r="G73" s="198"/>
    </row>
    <row r="74" spans="4:23">
      <c r="D74" s="7" t="s">
        <v>172</v>
      </c>
      <c r="E74" s="7"/>
      <c r="F74" s="197">
        <v>0</v>
      </c>
      <c r="G74" s="198"/>
    </row>
    <row r="75" spans="4:23">
      <c r="D75" s="7" t="s">
        <v>173</v>
      </c>
      <c r="E75" s="7"/>
      <c r="F75" s="197">
        <v>2</v>
      </c>
      <c r="G75" s="198"/>
    </row>
    <row r="76" spans="4:23">
      <c r="D76" s="7" t="s">
        <v>174</v>
      </c>
      <c r="E76" s="7"/>
      <c r="F76" s="197">
        <v>6</v>
      </c>
      <c r="G76" s="198"/>
    </row>
    <row r="77" spans="4:23">
      <c r="D77" s="7" t="s">
        <v>175</v>
      </c>
      <c r="E77" s="7"/>
      <c r="F77" s="197">
        <v>7</v>
      </c>
      <c r="G77" s="198"/>
    </row>
    <row r="78" spans="4:23">
      <c r="D78" s="7" t="s">
        <v>176</v>
      </c>
      <c r="E78" s="7"/>
      <c r="F78" s="197">
        <v>5</v>
      </c>
      <c r="G78" s="198"/>
    </row>
    <row r="79" spans="4:23">
      <c r="D79" s="7" t="s">
        <v>177</v>
      </c>
      <c r="E79" s="7"/>
      <c r="F79" s="197">
        <v>5</v>
      </c>
      <c r="G79" s="198"/>
    </row>
    <row r="80" spans="4:23">
      <c r="D80" s="7" t="s">
        <v>178</v>
      </c>
      <c r="E80" s="7"/>
      <c r="F80" s="197">
        <v>2</v>
      </c>
      <c r="G80" s="198"/>
    </row>
    <row r="81" spans="5:7">
      <c r="E81" s="182">
        <f>+K70</f>
        <v>4.1818181818181799</v>
      </c>
      <c r="F81" s="182">
        <f>AVERAGE(F69:F80)</f>
        <v>2.8333333333333335</v>
      </c>
      <c r="G81" s="182"/>
    </row>
  </sheetData>
  <mergeCells count="15">
    <mergeCell ref="E67:F67"/>
    <mergeCell ref="T31:U31"/>
    <mergeCell ref="V31:W31"/>
    <mergeCell ref="Y31:Z31"/>
    <mergeCell ref="C49:D49"/>
    <mergeCell ref="E49:F49"/>
    <mergeCell ref="J49:K49"/>
    <mergeCell ref="L49:M49"/>
    <mergeCell ref="T49:U49"/>
    <mergeCell ref="V49:W49"/>
    <mergeCell ref="C31:D31"/>
    <mergeCell ref="E31:F31"/>
    <mergeCell ref="J31:K31"/>
    <mergeCell ref="L31:M31"/>
    <mergeCell ref="N31:O3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4:S229"/>
  <sheetViews>
    <sheetView showGridLines="0" topLeftCell="A139" zoomScale="79" zoomScaleNormal="79" workbookViewId="0">
      <selection activeCell="I111" sqref="I111"/>
    </sheetView>
  </sheetViews>
  <sheetFormatPr defaultColWidth="9" defaultRowHeight="15"/>
  <cols>
    <col min="2" max="2" width="16" customWidth="1"/>
    <col min="3" max="3" width="19.85546875" customWidth="1"/>
    <col min="4" max="4" width="24.28515625" customWidth="1"/>
    <col min="5" max="5" width="22.140625" customWidth="1"/>
    <col min="6" max="10" width="23.42578125" customWidth="1"/>
    <col min="11" max="11" width="20.28515625" customWidth="1"/>
    <col min="12" max="12" width="14.140625" customWidth="1"/>
    <col min="13" max="19" width="16.28515625" customWidth="1"/>
  </cols>
  <sheetData>
    <row r="4" spans="2:19" ht="46.5">
      <c r="B4" s="206" t="s">
        <v>192</v>
      </c>
    </row>
    <row r="5" spans="2:19" hidden="1"/>
    <row r="6" spans="2:19" hidden="1">
      <c r="C6" s="22" t="s">
        <v>1</v>
      </c>
    </row>
    <row r="7" spans="2:19" ht="30" hidden="1">
      <c r="C7" s="207" t="s">
        <v>2</v>
      </c>
      <c r="D7" s="208" t="s">
        <v>3</v>
      </c>
      <c r="E7" s="209" t="s">
        <v>4</v>
      </c>
      <c r="F7" s="208"/>
      <c r="G7" s="208" t="s">
        <v>6</v>
      </c>
      <c r="H7" s="208" t="s">
        <v>7</v>
      </c>
      <c r="I7" s="208" t="s">
        <v>8</v>
      </c>
      <c r="J7" s="208" t="s">
        <v>9</v>
      </c>
    </row>
    <row r="8" spans="2:19" ht="75" hidden="1">
      <c r="C8" s="176" t="s">
        <v>10</v>
      </c>
      <c r="D8" s="204">
        <v>85121795</v>
      </c>
      <c r="E8" s="210">
        <v>76154200</v>
      </c>
      <c r="F8" s="211"/>
      <c r="G8" s="204">
        <v>89576433</v>
      </c>
      <c r="H8" s="204">
        <v>132247427</v>
      </c>
      <c r="I8" s="250" t="s">
        <v>11</v>
      </c>
      <c r="J8" s="210">
        <f>+E8-D8</f>
        <v>-8967595</v>
      </c>
    </row>
    <row r="9" spans="2:19" hidden="1"/>
    <row r="10" spans="2:19" ht="30" hidden="1">
      <c r="C10" s="207" t="s">
        <v>12</v>
      </c>
      <c r="D10" s="208" t="s">
        <v>3</v>
      </c>
      <c r="E10" s="208" t="s">
        <v>4</v>
      </c>
      <c r="F10" s="208"/>
      <c r="G10" s="209" t="s">
        <v>6</v>
      </c>
      <c r="H10" s="208" t="s">
        <v>7</v>
      </c>
      <c r="I10" s="208" t="s">
        <v>8</v>
      </c>
      <c r="J10" s="208" t="s">
        <v>9</v>
      </c>
      <c r="L10" s="207" t="s">
        <v>13</v>
      </c>
      <c r="M10" s="208" t="s">
        <v>3</v>
      </c>
      <c r="N10" s="208" t="s">
        <v>4</v>
      </c>
      <c r="O10" s="208" t="s">
        <v>5</v>
      </c>
      <c r="P10" s="208" t="s">
        <v>6</v>
      </c>
      <c r="Q10" s="208" t="s">
        <v>7</v>
      </c>
      <c r="R10" s="208" t="s">
        <v>8</v>
      </c>
      <c r="S10" s="208" t="s">
        <v>9</v>
      </c>
    </row>
    <row r="11" spans="2:19" ht="45" hidden="1">
      <c r="C11" s="176" t="s">
        <v>10</v>
      </c>
      <c r="D11" s="204">
        <v>42471157</v>
      </c>
      <c r="E11" s="204">
        <v>40682600</v>
      </c>
      <c r="F11" s="204"/>
      <c r="G11" s="204">
        <v>33197822</v>
      </c>
      <c r="H11" s="211"/>
      <c r="I11" s="216" t="s">
        <v>14</v>
      </c>
      <c r="J11" s="204"/>
      <c r="L11" s="176" t="s">
        <v>10</v>
      </c>
      <c r="M11" s="211"/>
      <c r="N11" s="204">
        <v>44264590</v>
      </c>
      <c r="O11" s="211"/>
      <c r="P11" s="211"/>
      <c r="Q11" s="204">
        <v>42968280</v>
      </c>
      <c r="R11" s="204"/>
      <c r="S11" s="204"/>
    </row>
    <row r="12" spans="2:19" ht="45" hidden="1">
      <c r="C12" s="176" t="s">
        <v>15</v>
      </c>
      <c r="D12" s="204">
        <v>45837757</v>
      </c>
      <c r="E12" s="204">
        <v>45223800</v>
      </c>
      <c r="F12" s="204"/>
      <c r="G12" s="204">
        <v>38273422</v>
      </c>
      <c r="H12" s="211"/>
      <c r="I12" s="216" t="s">
        <v>16</v>
      </c>
      <c r="J12" s="204"/>
      <c r="L12" s="176" t="s">
        <v>15</v>
      </c>
      <c r="M12" s="211"/>
      <c r="N12" s="204">
        <v>48585800</v>
      </c>
      <c r="O12" s="211"/>
      <c r="P12" s="211"/>
      <c r="Q12" s="204">
        <v>48078804</v>
      </c>
      <c r="R12" s="204"/>
      <c r="S12" s="204"/>
    </row>
    <row r="13" spans="2:19" ht="30" hidden="1">
      <c r="C13" s="176" t="s">
        <v>17</v>
      </c>
      <c r="D13" s="204">
        <v>44133157</v>
      </c>
      <c r="E13" s="204">
        <v>42965200</v>
      </c>
      <c r="F13" s="204"/>
      <c r="G13" s="204">
        <v>35764522</v>
      </c>
      <c r="H13" s="211"/>
      <c r="I13" s="216" t="s">
        <v>18</v>
      </c>
      <c r="J13" s="204"/>
      <c r="L13" s="176" t="s">
        <v>17</v>
      </c>
      <c r="M13" s="211"/>
      <c r="N13" s="204">
        <v>45782200</v>
      </c>
      <c r="O13" s="211"/>
      <c r="P13" s="211"/>
      <c r="Q13" s="204">
        <v>46398804</v>
      </c>
      <c r="R13" s="204"/>
      <c r="S13" s="204"/>
    </row>
    <row r="14" spans="2:19" hidden="1">
      <c r="C14" s="176" t="s">
        <v>19</v>
      </c>
      <c r="D14" s="210">
        <f t="shared" ref="D14:H14" si="0">SUM(D11:D13)</f>
        <v>132442071</v>
      </c>
      <c r="E14" s="204">
        <f t="shared" si="0"/>
        <v>128871600</v>
      </c>
      <c r="F14" s="204"/>
      <c r="G14" s="210">
        <f t="shared" si="0"/>
        <v>107235766</v>
      </c>
      <c r="H14" s="211">
        <f t="shared" si="0"/>
        <v>0</v>
      </c>
      <c r="I14" s="204">
        <f>+E14-D14</f>
        <v>-3570471</v>
      </c>
      <c r="J14" s="204">
        <f>+G14-D14</f>
        <v>-25206305</v>
      </c>
      <c r="L14" s="176" t="s">
        <v>19</v>
      </c>
      <c r="M14" s="211">
        <f t="shared" ref="M14:S14" si="1">SUM(M11:M13)</f>
        <v>0</v>
      </c>
      <c r="N14" s="204">
        <f t="shared" si="1"/>
        <v>138632590</v>
      </c>
      <c r="O14" s="211">
        <f t="shared" si="1"/>
        <v>0</v>
      </c>
      <c r="P14" s="211">
        <f t="shared" si="1"/>
        <v>0</v>
      </c>
      <c r="Q14" s="204">
        <f t="shared" si="1"/>
        <v>137445888</v>
      </c>
      <c r="R14" s="204">
        <f t="shared" si="1"/>
        <v>0</v>
      </c>
      <c r="S14" s="204">
        <f t="shared" si="1"/>
        <v>0</v>
      </c>
    </row>
    <row r="15" spans="2:19" hidden="1">
      <c r="C15" s="176" t="s">
        <v>20</v>
      </c>
      <c r="D15" s="210">
        <f t="shared" ref="D15:G15" si="2">AVERAGE(D11:D13)</f>
        <v>44147357</v>
      </c>
      <c r="E15" s="204">
        <f t="shared" si="2"/>
        <v>42957200</v>
      </c>
      <c r="F15" s="204"/>
      <c r="G15" s="210">
        <f t="shared" si="2"/>
        <v>35745255.333333336</v>
      </c>
      <c r="H15" s="204"/>
      <c r="I15" s="204"/>
      <c r="J15" s="210">
        <f>+G15-D15</f>
        <v>-8402101.6666666642</v>
      </c>
      <c r="L15" s="176" t="s">
        <v>20</v>
      </c>
      <c r="M15" s="204"/>
      <c r="N15" s="210">
        <f>AVERAGE(N11:N13)</f>
        <v>46210863.333333336</v>
      </c>
      <c r="O15" s="204"/>
      <c r="P15" s="204"/>
      <c r="Q15" s="204">
        <f>AVERAGE(Q11:Q13)</f>
        <v>45815296</v>
      </c>
      <c r="R15" s="204"/>
      <c r="S15" s="204"/>
    </row>
    <row r="16" spans="2:19" hidden="1"/>
    <row r="17" spans="3:19" ht="30" hidden="1">
      <c r="C17" s="207" t="s">
        <v>21</v>
      </c>
      <c r="D17" s="208" t="s">
        <v>3</v>
      </c>
      <c r="E17" s="208" t="s">
        <v>4</v>
      </c>
      <c r="F17" s="208"/>
      <c r="G17" s="208" t="s">
        <v>6</v>
      </c>
      <c r="H17" s="208" t="s">
        <v>7</v>
      </c>
      <c r="I17" s="208" t="s">
        <v>8</v>
      </c>
      <c r="J17" s="208" t="s">
        <v>9</v>
      </c>
      <c r="L17" s="207" t="s">
        <v>22</v>
      </c>
      <c r="M17" s="208" t="s">
        <v>3</v>
      </c>
      <c r="N17" s="208" t="s">
        <v>4</v>
      </c>
      <c r="O17" s="208" t="s">
        <v>5</v>
      </c>
      <c r="P17" s="208" t="s">
        <v>6</v>
      </c>
      <c r="Q17" s="208" t="s">
        <v>7</v>
      </c>
      <c r="R17" s="208" t="s">
        <v>8</v>
      </c>
      <c r="S17" s="208" t="s">
        <v>9</v>
      </c>
    </row>
    <row r="18" spans="3:19" ht="60" hidden="1">
      <c r="C18" s="176" t="s">
        <v>10</v>
      </c>
      <c r="D18" s="204">
        <v>43773446.350000001</v>
      </c>
      <c r="E18" s="204">
        <v>47936750</v>
      </c>
      <c r="F18" s="211"/>
      <c r="G18" s="211"/>
      <c r="H18" s="211"/>
      <c r="I18" s="250" t="s">
        <v>23</v>
      </c>
      <c r="J18" s="204"/>
      <c r="L18" s="176" t="s">
        <v>10</v>
      </c>
      <c r="M18" s="204">
        <v>341866500</v>
      </c>
      <c r="N18" s="204">
        <v>44789186</v>
      </c>
      <c r="O18" s="204">
        <v>375667120</v>
      </c>
      <c r="P18" s="204">
        <v>336207798</v>
      </c>
      <c r="Q18" s="204">
        <v>388651417</v>
      </c>
      <c r="R18" s="216" t="s">
        <v>24</v>
      </c>
      <c r="S18" s="204">
        <f t="shared" ref="S18:S22" si="3">+P18-M18</f>
        <v>-5658702</v>
      </c>
    </row>
    <row r="19" spans="3:19" ht="120" hidden="1">
      <c r="C19" s="176" t="s">
        <v>15</v>
      </c>
      <c r="D19" s="204">
        <v>50188321</v>
      </c>
      <c r="E19" s="204">
        <v>55638252.380952403</v>
      </c>
      <c r="F19" s="211"/>
      <c r="G19" s="211"/>
      <c r="H19" s="211"/>
      <c r="I19" s="250" t="s">
        <v>25</v>
      </c>
      <c r="J19" s="204"/>
      <c r="L19" s="176" t="s">
        <v>15</v>
      </c>
      <c r="M19" s="204">
        <v>223594000</v>
      </c>
      <c r="N19" s="204">
        <v>35320438</v>
      </c>
      <c r="O19" s="204">
        <v>266283560</v>
      </c>
      <c r="P19" s="204">
        <v>244183066</v>
      </c>
      <c r="Q19" s="204">
        <v>267524346</v>
      </c>
      <c r="R19" s="216" t="s">
        <v>26</v>
      </c>
      <c r="S19" s="204">
        <f t="shared" si="3"/>
        <v>20589066</v>
      </c>
    </row>
    <row r="20" spans="3:19" ht="75" hidden="1">
      <c r="C20" s="176" t="s">
        <v>17</v>
      </c>
      <c r="D20" s="204">
        <v>47491277.75</v>
      </c>
      <c r="E20" s="204">
        <v>53819475</v>
      </c>
      <c r="F20" s="211"/>
      <c r="G20" s="211"/>
      <c r="H20" s="211"/>
      <c r="I20" s="250" t="s">
        <v>27</v>
      </c>
      <c r="J20" s="204"/>
      <c r="L20" s="176" t="s">
        <v>17</v>
      </c>
      <c r="M20" s="204">
        <v>221055500</v>
      </c>
      <c r="N20" s="204">
        <v>38479080</v>
      </c>
      <c r="O20" s="204">
        <v>263866893.33333299</v>
      </c>
      <c r="P20" s="204">
        <v>242283066</v>
      </c>
      <c r="Q20" s="204">
        <v>265782679.33333299</v>
      </c>
      <c r="R20" s="216" t="s">
        <v>28</v>
      </c>
      <c r="S20" s="204">
        <f t="shared" si="3"/>
        <v>21227566</v>
      </c>
    </row>
    <row r="21" spans="3:19" ht="33" hidden="1" customHeight="1">
      <c r="C21" s="176" t="s">
        <v>19</v>
      </c>
      <c r="D21" s="204">
        <f t="shared" ref="D21:I21" si="4">SUM(D18:D20)</f>
        <v>141453045.09999999</v>
      </c>
      <c r="E21" s="204">
        <f t="shared" si="4"/>
        <v>157394477.38095242</v>
      </c>
      <c r="F21" s="211"/>
      <c r="G21" s="211">
        <f t="shared" si="4"/>
        <v>0</v>
      </c>
      <c r="H21" s="211">
        <f t="shared" si="4"/>
        <v>0</v>
      </c>
      <c r="I21" s="204">
        <f t="shared" si="4"/>
        <v>0</v>
      </c>
      <c r="J21" s="204">
        <f>+E21-D21</f>
        <v>15941432.280952424</v>
      </c>
      <c r="L21" s="176" t="s">
        <v>19</v>
      </c>
      <c r="M21" s="204">
        <f t="shared" ref="M21:R21" si="5">SUM(M18:M20)</f>
        <v>786516000</v>
      </c>
      <c r="N21" s="204">
        <f t="shared" si="5"/>
        <v>118588704</v>
      </c>
      <c r="O21" s="204">
        <f t="shared" si="5"/>
        <v>905817573.33333302</v>
      </c>
      <c r="P21" s="204">
        <f t="shared" si="5"/>
        <v>822673930</v>
      </c>
      <c r="Q21" s="204">
        <f t="shared" si="5"/>
        <v>921958442.33333302</v>
      </c>
      <c r="R21" s="204">
        <f t="shared" si="5"/>
        <v>0</v>
      </c>
      <c r="S21" s="204">
        <f t="shared" si="3"/>
        <v>36157930</v>
      </c>
    </row>
    <row r="22" spans="3:19" ht="33" hidden="1" customHeight="1">
      <c r="C22" s="176" t="s">
        <v>20</v>
      </c>
      <c r="D22" s="210">
        <f>AVERAGE(D18:D20)</f>
        <v>47151015.033333331</v>
      </c>
      <c r="E22" s="210">
        <f>AVERAGE(E18:E20)</f>
        <v>52464825.793650806</v>
      </c>
      <c r="F22" s="212"/>
      <c r="G22" s="212"/>
      <c r="H22" s="204"/>
      <c r="I22" s="204"/>
      <c r="J22" s="210">
        <f>+E22-D22</f>
        <v>5313810.7603174746</v>
      </c>
      <c r="L22" s="176" t="s">
        <v>20</v>
      </c>
      <c r="M22" s="210">
        <f t="shared" ref="M22:Q22" si="6">AVERAGE(M18:M20)</f>
        <v>262172000</v>
      </c>
      <c r="N22" s="204">
        <f t="shared" si="6"/>
        <v>39529568</v>
      </c>
      <c r="O22" s="204">
        <f t="shared" si="6"/>
        <v>301939191.11111099</v>
      </c>
      <c r="P22" s="210">
        <f t="shared" si="6"/>
        <v>274224643.33333331</v>
      </c>
      <c r="Q22" s="204">
        <f t="shared" si="6"/>
        <v>307319480.77777767</v>
      </c>
      <c r="R22" s="204"/>
      <c r="S22" s="210">
        <f t="shared" si="3"/>
        <v>12052643.333333313</v>
      </c>
    </row>
    <row r="23" spans="3:19" hidden="1"/>
    <row r="24" spans="3:19" ht="30" hidden="1">
      <c r="C24" s="207" t="s">
        <v>29</v>
      </c>
      <c r="D24" s="208" t="s">
        <v>3</v>
      </c>
      <c r="E24" s="208" t="s">
        <v>4</v>
      </c>
      <c r="F24" s="208"/>
      <c r="G24" s="208" t="s">
        <v>6</v>
      </c>
      <c r="H24" s="208" t="s">
        <v>7</v>
      </c>
      <c r="I24" s="208" t="s">
        <v>8</v>
      </c>
      <c r="J24" s="208" t="s">
        <v>9</v>
      </c>
      <c r="L24" s="207" t="s">
        <v>30</v>
      </c>
      <c r="M24" s="208" t="s">
        <v>3</v>
      </c>
      <c r="N24" s="208" t="s">
        <v>4</v>
      </c>
      <c r="O24" s="208" t="s">
        <v>5</v>
      </c>
      <c r="P24" s="208" t="s">
        <v>6</v>
      </c>
      <c r="Q24" s="208" t="s">
        <v>7</v>
      </c>
      <c r="R24" s="208" t="s">
        <v>8</v>
      </c>
      <c r="S24" s="208" t="s">
        <v>9</v>
      </c>
    </row>
    <row r="25" spans="3:19" ht="60" hidden="1">
      <c r="C25" s="176" t="s">
        <v>10</v>
      </c>
      <c r="D25" s="204">
        <v>45143446.350000001</v>
      </c>
      <c r="E25" s="204">
        <v>46298750</v>
      </c>
      <c r="F25" s="211"/>
      <c r="G25" s="211"/>
      <c r="H25" s="211"/>
      <c r="I25" s="250" t="s">
        <v>23</v>
      </c>
      <c r="J25" s="204"/>
      <c r="L25" s="176" t="s">
        <v>10</v>
      </c>
      <c r="M25" s="211"/>
      <c r="N25" s="204">
        <v>416561500</v>
      </c>
      <c r="O25" s="211"/>
      <c r="P25" s="204">
        <v>322478034</v>
      </c>
      <c r="Q25" s="211"/>
      <c r="R25" s="216" t="s">
        <v>24</v>
      </c>
      <c r="S25" s="204"/>
    </row>
    <row r="26" spans="3:19" ht="120" hidden="1">
      <c r="C26" s="176" t="s">
        <v>15</v>
      </c>
      <c r="D26" s="204">
        <v>51558321</v>
      </c>
      <c r="E26" s="204">
        <v>53298252.380952403</v>
      </c>
      <c r="F26" s="211"/>
      <c r="G26" s="211"/>
      <c r="H26" s="211"/>
      <c r="I26" s="250" t="s">
        <v>25</v>
      </c>
      <c r="J26" s="204"/>
      <c r="L26" s="176" t="s">
        <v>15</v>
      </c>
      <c r="M26" s="211"/>
      <c r="N26" s="204">
        <v>289918200</v>
      </c>
      <c r="O26" s="211"/>
      <c r="P26" s="204">
        <v>235491398</v>
      </c>
      <c r="Q26" s="211"/>
      <c r="R26" s="216" t="s">
        <v>26</v>
      </c>
      <c r="S26" s="204"/>
    </row>
    <row r="27" spans="3:19" ht="75" hidden="1">
      <c r="C27" s="176" t="s">
        <v>17</v>
      </c>
      <c r="D27" s="204">
        <v>48861277.75</v>
      </c>
      <c r="E27" s="204">
        <v>51260100</v>
      </c>
      <c r="F27" s="211"/>
      <c r="G27" s="211"/>
      <c r="H27" s="211"/>
      <c r="I27" s="250" t="s">
        <v>27</v>
      </c>
      <c r="J27" s="204"/>
      <c r="L27" s="176" t="s">
        <v>17</v>
      </c>
      <c r="M27" s="211"/>
      <c r="N27" s="204">
        <v>286769366.66666698</v>
      </c>
      <c r="O27" s="211"/>
      <c r="P27" s="204">
        <v>233541398</v>
      </c>
      <c r="Q27" s="211"/>
      <c r="R27" s="216" t="s">
        <v>28</v>
      </c>
      <c r="S27" s="204"/>
    </row>
    <row r="28" spans="3:19" ht="30" hidden="1" customHeight="1">
      <c r="C28" s="176" t="s">
        <v>19</v>
      </c>
      <c r="D28" s="204">
        <f t="shared" ref="D28:J28" si="7">SUM(D25:D27)</f>
        <v>145563045.09999999</v>
      </c>
      <c r="E28" s="204">
        <f t="shared" si="7"/>
        <v>150857102.38095242</v>
      </c>
      <c r="F28" s="211"/>
      <c r="G28" s="211">
        <f t="shared" si="7"/>
        <v>0</v>
      </c>
      <c r="H28" s="211">
        <f t="shared" si="7"/>
        <v>0</v>
      </c>
      <c r="I28" s="204">
        <f t="shared" si="7"/>
        <v>0</v>
      </c>
      <c r="J28" s="204">
        <f t="shared" si="7"/>
        <v>0</v>
      </c>
      <c r="L28" s="176" t="s">
        <v>19</v>
      </c>
      <c r="M28" s="211">
        <f t="shared" ref="M28:S28" si="8">SUM(M25:M27)</f>
        <v>0</v>
      </c>
      <c r="N28" s="204">
        <f t="shared" si="8"/>
        <v>993249066.66666698</v>
      </c>
      <c r="O28" s="211">
        <f t="shared" si="8"/>
        <v>0</v>
      </c>
      <c r="P28" s="204">
        <f t="shared" si="8"/>
        <v>791510830</v>
      </c>
      <c r="Q28" s="211">
        <f t="shared" si="8"/>
        <v>0</v>
      </c>
      <c r="R28" s="204">
        <f t="shared" si="8"/>
        <v>0</v>
      </c>
      <c r="S28" s="204">
        <f t="shared" si="8"/>
        <v>0</v>
      </c>
    </row>
    <row r="29" spans="3:19" ht="30" hidden="1" customHeight="1">
      <c r="C29" s="176" t="s">
        <v>20</v>
      </c>
      <c r="D29" s="210">
        <f>AVERAGE(D25:D27)</f>
        <v>48521015.033333331</v>
      </c>
      <c r="E29" s="210">
        <f>AVERAGE(E25:E27)</f>
        <v>50285700.793650806</v>
      </c>
      <c r="F29" s="212"/>
      <c r="G29" s="212"/>
      <c r="H29" s="204"/>
      <c r="I29" s="204"/>
      <c r="J29" s="210">
        <f>+E29-D29</f>
        <v>1764685.7603174746</v>
      </c>
      <c r="L29" s="176" t="s">
        <v>20</v>
      </c>
      <c r="M29" s="204"/>
      <c r="N29" s="204">
        <f>AVERAGE(N25:N27)</f>
        <v>331083022.22222233</v>
      </c>
      <c r="O29" s="204"/>
      <c r="P29" s="210">
        <f>AVERAGE(P25:P27)</f>
        <v>263836943.33333334</v>
      </c>
      <c r="Q29" s="204"/>
      <c r="R29" s="204"/>
      <c r="S29" s="204">
        <f>+P29-M29</f>
        <v>263836943.33333334</v>
      </c>
    </row>
    <row r="30" spans="3:19" hidden="1"/>
    <row r="31" spans="3:19" ht="34.5" hidden="1" customHeight="1">
      <c r="C31" s="207" t="s">
        <v>31</v>
      </c>
      <c r="D31" s="208" t="s">
        <v>32</v>
      </c>
      <c r="E31" s="208" t="s">
        <v>4</v>
      </c>
      <c r="F31" s="208"/>
      <c r="G31" s="208" t="s">
        <v>6</v>
      </c>
      <c r="H31" s="208" t="s">
        <v>7</v>
      </c>
      <c r="I31" s="208" t="s">
        <v>8</v>
      </c>
      <c r="J31" s="208" t="s">
        <v>9</v>
      </c>
      <c r="L31" s="207" t="s">
        <v>33</v>
      </c>
      <c r="M31" s="208" t="s">
        <v>3</v>
      </c>
      <c r="N31" s="208" t="s">
        <v>4</v>
      </c>
      <c r="O31" s="208" t="s">
        <v>5</v>
      </c>
      <c r="P31" s="208" t="s">
        <v>6</v>
      </c>
      <c r="Q31" s="208" t="s">
        <v>7</v>
      </c>
      <c r="R31" s="208" t="s">
        <v>8</v>
      </c>
      <c r="S31" s="208" t="s">
        <v>9</v>
      </c>
    </row>
    <row r="32" spans="3:19" ht="34.5" hidden="1" customHeight="1">
      <c r="C32" s="176" t="s">
        <v>10</v>
      </c>
      <c r="D32" s="211"/>
      <c r="E32" s="204">
        <v>47837144.444444403</v>
      </c>
      <c r="F32" s="211"/>
      <c r="G32" s="211"/>
      <c r="H32" s="211"/>
      <c r="I32" s="285" t="s">
        <v>34</v>
      </c>
      <c r="J32" s="204"/>
      <c r="L32" s="176" t="s">
        <v>10</v>
      </c>
      <c r="M32" s="211"/>
      <c r="N32" s="204">
        <v>47998800</v>
      </c>
      <c r="O32" s="204">
        <v>39787550</v>
      </c>
      <c r="P32" s="204">
        <v>32400823.846153799</v>
      </c>
      <c r="Q32" s="204">
        <v>37692201</v>
      </c>
      <c r="R32" s="204"/>
      <c r="S32" s="204"/>
    </row>
    <row r="33" spans="2:19" ht="34.5" hidden="1" customHeight="1">
      <c r="C33" s="176" t="s">
        <v>15</v>
      </c>
      <c r="D33" s="211"/>
      <c r="E33" s="204">
        <v>52679761.538461603</v>
      </c>
      <c r="F33" s="211"/>
      <c r="G33" s="211"/>
      <c r="H33" s="211"/>
      <c r="I33" s="286"/>
      <c r="J33" s="204"/>
      <c r="L33" s="176" t="s">
        <v>15</v>
      </c>
      <c r="M33" s="211"/>
      <c r="N33" s="204">
        <v>52473500</v>
      </c>
      <c r="O33" s="204">
        <v>47142080</v>
      </c>
      <c r="P33" s="204">
        <v>37370924.545454502</v>
      </c>
      <c r="Q33" s="204">
        <v>41509129.5</v>
      </c>
      <c r="R33" s="204"/>
      <c r="S33" s="204"/>
    </row>
    <row r="34" spans="2:19" ht="34.5" hidden="1" customHeight="1">
      <c r="C34" s="176" t="s">
        <v>17</v>
      </c>
      <c r="D34" s="211"/>
      <c r="E34" s="204">
        <v>50569600</v>
      </c>
      <c r="F34" s="211"/>
      <c r="G34" s="211"/>
      <c r="H34" s="211"/>
      <c r="I34" s="287"/>
      <c r="J34" s="204"/>
      <c r="L34" s="176" t="s">
        <v>17</v>
      </c>
      <c r="M34" s="211"/>
      <c r="N34" s="204">
        <v>51028000</v>
      </c>
      <c r="O34" s="204">
        <v>44867260</v>
      </c>
      <c r="P34" s="204">
        <v>36015470</v>
      </c>
      <c r="Q34" s="204">
        <v>39358463</v>
      </c>
      <c r="R34" s="204"/>
      <c r="S34" s="204"/>
    </row>
    <row r="35" spans="2:19" ht="34.5" hidden="1" customHeight="1">
      <c r="C35" s="176" t="s">
        <v>19</v>
      </c>
      <c r="D35" s="211">
        <f t="shared" ref="D35:J35" si="9">SUM(D32:D34)</f>
        <v>0</v>
      </c>
      <c r="E35" s="204">
        <f t="shared" si="9"/>
        <v>151086505.98290601</v>
      </c>
      <c r="F35" s="211"/>
      <c r="G35" s="211">
        <f t="shared" si="9"/>
        <v>0</v>
      </c>
      <c r="H35" s="211">
        <f t="shared" si="9"/>
        <v>0</v>
      </c>
      <c r="I35" s="204">
        <f t="shared" si="9"/>
        <v>0</v>
      </c>
      <c r="J35" s="204">
        <f t="shared" si="9"/>
        <v>0</v>
      </c>
      <c r="L35" s="176" t="s">
        <v>19</v>
      </c>
      <c r="M35" s="211">
        <f t="shared" ref="M35:R35" si="10">SUM(M32:M34)</f>
        <v>0</v>
      </c>
      <c r="N35" s="204">
        <f t="shared" si="10"/>
        <v>151500300</v>
      </c>
      <c r="O35" s="204">
        <f t="shared" si="10"/>
        <v>131796890</v>
      </c>
      <c r="P35" s="204">
        <f t="shared" si="10"/>
        <v>105787218.3916083</v>
      </c>
      <c r="Q35" s="204">
        <f t="shared" si="10"/>
        <v>118559793.5</v>
      </c>
      <c r="R35" s="204">
        <f t="shared" si="10"/>
        <v>0</v>
      </c>
      <c r="S35" s="204"/>
    </row>
    <row r="36" spans="2:19" ht="34.5" hidden="1" customHeight="1">
      <c r="C36" s="176" t="s">
        <v>20</v>
      </c>
      <c r="D36" s="204"/>
      <c r="E36" s="210">
        <f>AVERAGE(E32:E34)</f>
        <v>50362168.660968669</v>
      </c>
      <c r="F36" s="204"/>
      <c r="G36" s="204"/>
      <c r="H36" s="204"/>
      <c r="I36" s="204"/>
      <c r="J36" s="204"/>
      <c r="L36" s="176" t="s">
        <v>20</v>
      </c>
      <c r="M36" s="204"/>
      <c r="N36" s="204">
        <f t="shared" ref="N36:Q36" si="11">AVERAGE(N32:N34)</f>
        <v>50500100</v>
      </c>
      <c r="O36" s="204">
        <f t="shared" si="11"/>
        <v>43932296.666666664</v>
      </c>
      <c r="P36" s="210">
        <f t="shared" si="11"/>
        <v>35262406.130536102</v>
      </c>
      <c r="Q36" s="204">
        <f t="shared" si="11"/>
        <v>39519931.166666664</v>
      </c>
      <c r="R36" s="204"/>
      <c r="S36" s="204">
        <f>+P36-M36</f>
        <v>35262406.130536102</v>
      </c>
    </row>
    <row r="37" spans="2:19" hidden="1"/>
    <row r="38" spans="2:19" ht="37.5" hidden="1" customHeight="1">
      <c r="C38" s="207" t="s">
        <v>35</v>
      </c>
      <c r="D38" s="208" t="s">
        <v>32</v>
      </c>
      <c r="E38" s="208" t="s">
        <v>4</v>
      </c>
      <c r="F38" s="208"/>
      <c r="G38" s="208" t="s">
        <v>6</v>
      </c>
      <c r="H38" s="208" t="s">
        <v>7</v>
      </c>
      <c r="I38" s="208" t="s">
        <v>8</v>
      </c>
      <c r="J38" s="208" t="s">
        <v>9</v>
      </c>
      <c r="L38" s="207" t="s">
        <v>36</v>
      </c>
      <c r="M38" s="208" t="s">
        <v>3</v>
      </c>
      <c r="N38" s="208" t="s">
        <v>4</v>
      </c>
      <c r="O38" s="208" t="s">
        <v>5</v>
      </c>
      <c r="P38" s="208" t="s">
        <v>6</v>
      </c>
      <c r="Q38" s="208" t="s">
        <v>7</v>
      </c>
      <c r="R38" s="208" t="s">
        <v>8</v>
      </c>
      <c r="S38" s="208" t="s">
        <v>9</v>
      </c>
    </row>
    <row r="39" spans="2:19" ht="37.5" hidden="1" customHeight="1">
      <c r="C39" s="176" t="s">
        <v>10</v>
      </c>
      <c r="D39" s="211"/>
      <c r="E39" s="204">
        <v>44779033.333333299</v>
      </c>
      <c r="F39" s="211"/>
      <c r="G39" s="204">
        <v>43140634.306172803</v>
      </c>
      <c r="H39" s="211"/>
      <c r="I39" s="288" t="s">
        <v>37</v>
      </c>
      <c r="J39" s="204"/>
      <c r="L39" s="176" t="s">
        <v>10</v>
      </c>
      <c r="M39" s="211"/>
      <c r="N39" s="204">
        <v>48954800</v>
      </c>
      <c r="O39" s="211"/>
      <c r="P39" s="211"/>
      <c r="Q39" s="211"/>
      <c r="R39" s="204"/>
      <c r="S39" s="204"/>
    </row>
    <row r="40" spans="2:19" ht="37.5" hidden="1" customHeight="1">
      <c r="C40" s="176" t="s">
        <v>15</v>
      </c>
      <c r="D40" s="211"/>
      <c r="E40" s="204">
        <v>49604300</v>
      </c>
      <c r="F40" s="211"/>
      <c r="G40" s="204">
        <v>48544446.959259301</v>
      </c>
      <c r="H40" s="211"/>
      <c r="I40" s="289"/>
      <c r="J40" s="204"/>
      <c r="L40" s="176" t="s">
        <v>15</v>
      </c>
      <c r="M40" s="211"/>
      <c r="N40" s="204">
        <v>53734500</v>
      </c>
      <c r="O40" s="211"/>
      <c r="P40" s="211"/>
      <c r="Q40" s="211"/>
      <c r="R40" s="204"/>
      <c r="S40" s="204"/>
    </row>
    <row r="41" spans="2:19" ht="37.5" hidden="1" customHeight="1">
      <c r="C41" s="176" t="s">
        <v>17</v>
      </c>
      <c r="D41" s="211"/>
      <c r="E41" s="204">
        <v>47565933.333333299</v>
      </c>
      <c r="F41" s="211"/>
      <c r="G41" s="204">
        <v>46842024.918518499</v>
      </c>
      <c r="H41" s="211"/>
      <c r="I41" s="290"/>
      <c r="J41" s="204"/>
      <c r="L41" s="176" t="s">
        <v>17</v>
      </c>
      <c r="M41" s="211"/>
      <c r="N41" s="204">
        <v>52290000</v>
      </c>
      <c r="O41" s="211"/>
      <c r="P41" s="211"/>
      <c r="Q41" s="211"/>
      <c r="R41" s="204"/>
      <c r="S41" s="204"/>
    </row>
    <row r="42" spans="2:19" ht="37.5" hidden="1" customHeight="1">
      <c r="C42" s="176" t="s">
        <v>19</v>
      </c>
      <c r="D42" s="211">
        <f t="shared" ref="D42:J42" si="12">SUM(D39:D41)</f>
        <v>0</v>
      </c>
      <c r="E42" s="204">
        <f t="shared" si="12"/>
        <v>141949266.6666666</v>
      </c>
      <c r="F42" s="211"/>
      <c r="G42" s="204">
        <f t="shared" si="12"/>
        <v>138527106.1839506</v>
      </c>
      <c r="H42" s="211">
        <f t="shared" si="12"/>
        <v>0</v>
      </c>
      <c r="I42" s="204">
        <f t="shared" si="12"/>
        <v>0</v>
      </c>
      <c r="J42" s="204">
        <f t="shared" si="12"/>
        <v>0</v>
      </c>
      <c r="L42" s="176" t="s">
        <v>19</v>
      </c>
      <c r="M42" s="211">
        <f t="shared" ref="M42:S42" si="13">SUM(M39:M41)</f>
        <v>0</v>
      </c>
      <c r="N42" s="204">
        <f t="shared" si="13"/>
        <v>154979300</v>
      </c>
      <c r="O42" s="211">
        <f t="shared" si="13"/>
        <v>0</v>
      </c>
      <c r="P42" s="211">
        <f t="shared" si="13"/>
        <v>0</v>
      </c>
      <c r="Q42" s="211">
        <f t="shared" si="13"/>
        <v>0</v>
      </c>
      <c r="R42" s="204">
        <f t="shared" si="13"/>
        <v>0</v>
      </c>
      <c r="S42" s="204">
        <f t="shared" si="13"/>
        <v>0</v>
      </c>
    </row>
    <row r="43" spans="2:19" ht="37.5" hidden="1" customHeight="1">
      <c r="C43" s="176" t="s">
        <v>20</v>
      </c>
      <c r="D43" s="204"/>
      <c r="E43" s="210">
        <f>AVERAGE(E39:E41)</f>
        <v>47316422.222222202</v>
      </c>
      <c r="F43" s="204"/>
      <c r="G43" s="210">
        <f>AVERAGE(G39:G41)</f>
        <v>46175702.06131687</v>
      </c>
      <c r="H43" s="204"/>
      <c r="I43" s="204"/>
      <c r="J43" s="204"/>
      <c r="L43" s="176" t="s">
        <v>20</v>
      </c>
      <c r="M43" s="204"/>
      <c r="N43" s="210">
        <f>AVERAGE(N39:N41)</f>
        <v>51659766.666666664</v>
      </c>
      <c r="O43" s="204"/>
      <c r="P43" s="204"/>
      <c r="Q43" s="204"/>
      <c r="R43" s="204"/>
      <c r="S43" s="204">
        <f>+P43-M43</f>
        <v>0</v>
      </c>
    </row>
    <row r="44" spans="2:19" hidden="1"/>
    <row r="45" spans="2:19" hidden="1"/>
    <row r="48" spans="2:19" ht="24" customHeight="1">
      <c r="B48" s="275" t="s">
        <v>38</v>
      </c>
      <c r="C48" s="274" t="s">
        <v>39</v>
      </c>
      <c r="D48" s="274" t="s">
        <v>40</v>
      </c>
      <c r="E48" s="274" t="s">
        <v>41</v>
      </c>
      <c r="F48" s="268" t="s">
        <v>3</v>
      </c>
      <c r="G48" s="269"/>
      <c r="H48" s="268" t="s">
        <v>42</v>
      </c>
      <c r="I48" s="269"/>
      <c r="J48" s="274" t="s">
        <v>43</v>
      </c>
      <c r="K48" s="274" t="s">
        <v>8</v>
      </c>
      <c r="L48" s="274"/>
      <c r="M48" s="274"/>
    </row>
    <row r="49" spans="2:16" ht="24" customHeight="1">
      <c r="B49" s="275"/>
      <c r="C49" s="274"/>
      <c r="D49" s="274"/>
      <c r="E49" s="274"/>
      <c r="F49" s="3" t="s">
        <v>1</v>
      </c>
      <c r="G49" s="6" t="s">
        <v>44</v>
      </c>
      <c r="H49" s="6" t="s">
        <v>1</v>
      </c>
      <c r="I49" s="6" t="s">
        <v>44</v>
      </c>
      <c r="J49" s="274"/>
      <c r="K49" s="274"/>
      <c r="L49" s="274"/>
      <c r="M49" s="274"/>
    </row>
    <row r="50" spans="2:16" ht="38.25" customHeight="1">
      <c r="B50" s="176" t="s">
        <v>4</v>
      </c>
      <c r="C50" s="176" t="s">
        <v>45</v>
      </c>
      <c r="D50" s="176" t="s">
        <v>10</v>
      </c>
      <c r="E50" s="131">
        <v>1</v>
      </c>
      <c r="F50" s="202">
        <f>Lexus!E16</f>
        <v>85121795</v>
      </c>
      <c r="G50" s="202">
        <f t="shared" ref="G50:G53" si="14">+F50*E50</f>
        <v>85121795</v>
      </c>
      <c r="H50" s="202">
        <f>Lexus!N17</f>
        <v>148071400</v>
      </c>
      <c r="I50" s="202">
        <f t="shared" ref="I50:I53" si="15">+H50*E50</f>
        <v>148071400</v>
      </c>
      <c r="J50" s="212">
        <f t="shared" ref="J50:J53" si="16">+I50-G50</f>
        <v>62949605</v>
      </c>
      <c r="K50" s="270" t="s">
        <v>46</v>
      </c>
      <c r="L50" s="271"/>
      <c r="M50" s="271"/>
    </row>
    <row r="51" spans="2:16" ht="31.5" customHeight="1">
      <c r="B51" s="276" t="s">
        <v>4</v>
      </c>
      <c r="C51" s="279" t="s">
        <v>47</v>
      </c>
      <c r="D51" s="176" t="s">
        <v>10</v>
      </c>
      <c r="E51" s="131">
        <v>1</v>
      </c>
      <c r="F51" s="202">
        <f>'Camry 2.5G'!E16</f>
        <v>42471157</v>
      </c>
      <c r="G51" s="202">
        <f t="shared" si="14"/>
        <v>42471157</v>
      </c>
      <c r="H51" s="202">
        <f>'Camry 2.5G'!E31</f>
        <v>40682600</v>
      </c>
      <c r="I51" s="202">
        <f t="shared" si="15"/>
        <v>40682600</v>
      </c>
      <c r="J51" s="212">
        <f t="shared" si="16"/>
        <v>-1788557</v>
      </c>
      <c r="K51" s="270" t="s">
        <v>14</v>
      </c>
      <c r="L51" s="271"/>
      <c r="M51" s="271"/>
    </row>
    <row r="52" spans="2:16" ht="31.5" customHeight="1">
      <c r="B52" s="277"/>
      <c r="C52" s="280"/>
      <c r="D52" s="176" t="s">
        <v>15</v>
      </c>
      <c r="E52" s="131">
        <v>1</v>
      </c>
      <c r="F52" s="202">
        <f>'Camry 2.5G'!H16</f>
        <v>45837757</v>
      </c>
      <c r="G52" s="202">
        <f t="shared" si="14"/>
        <v>45837757</v>
      </c>
      <c r="H52" s="202">
        <f>'Camry 2.5G'!H31</f>
        <v>45223800</v>
      </c>
      <c r="I52" s="202">
        <f t="shared" si="15"/>
        <v>45223800</v>
      </c>
      <c r="J52" s="212">
        <f t="shared" si="16"/>
        <v>-613957</v>
      </c>
      <c r="K52" s="270" t="s">
        <v>16</v>
      </c>
      <c r="L52" s="271"/>
      <c r="M52" s="271"/>
    </row>
    <row r="53" spans="2:16" ht="31.5" customHeight="1">
      <c r="B53" s="277"/>
      <c r="C53" s="280"/>
      <c r="D53" s="176" t="s">
        <v>17</v>
      </c>
      <c r="E53" s="131">
        <v>1</v>
      </c>
      <c r="F53" s="202">
        <f>'Camry 2.5G'!K16</f>
        <v>44133157</v>
      </c>
      <c r="G53" s="202">
        <f t="shared" si="14"/>
        <v>44133157</v>
      </c>
      <c r="H53" s="202">
        <f>'Camry 2.5G'!K31</f>
        <v>42965200</v>
      </c>
      <c r="I53" s="202">
        <f t="shared" si="15"/>
        <v>42965200</v>
      </c>
      <c r="J53" s="212">
        <f t="shared" si="16"/>
        <v>-1167957</v>
      </c>
      <c r="K53" s="271"/>
      <c r="L53" s="271"/>
      <c r="M53" s="271"/>
    </row>
    <row r="54" spans="2:16" ht="24" customHeight="1">
      <c r="B54" s="278"/>
      <c r="C54" s="281"/>
      <c r="D54" s="194" t="s">
        <v>48</v>
      </c>
      <c r="E54" s="178">
        <f t="shared" ref="E54:J54" si="17">SUM(E51:E53)</f>
        <v>3</v>
      </c>
      <c r="F54" s="214">
        <f t="shared" si="17"/>
        <v>132442071</v>
      </c>
      <c r="G54" s="214">
        <f t="shared" si="17"/>
        <v>132442071</v>
      </c>
      <c r="H54" s="214">
        <f t="shared" si="17"/>
        <v>128871600</v>
      </c>
      <c r="I54" s="214">
        <f t="shared" si="17"/>
        <v>128871600</v>
      </c>
      <c r="J54" s="217">
        <f t="shared" si="17"/>
        <v>-3570471</v>
      </c>
      <c r="K54" s="271"/>
      <c r="L54" s="271"/>
      <c r="M54" s="271"/>
    </row>
    <row r="55" spans="2:16" ht="31.5" customHeight="1">
      <c r="B55" s="279" t="s">
        <v>6</v>
      </c>
      <c r="C55" s="279" t="s">
        <v>47</v>
      </c>
      <c r="D55" s="176" t="s">
        <v>10</v>
      </c>
      <c r="E55" s="131">
        <v>1</v>
      </c>
      <c r="F55" s="202">
        <f t="shared" ref="F55:F57" si="18">F51</f>
        <v>42471157</v>
      </c>
      <c r="G55" s="202">
        <f t="shared" ref="G55:G57" si="19">+F55*E55</f>
        <v>42471157</v>
      </c>
      <c r="H55" s="202">
        <f>'Camry 2.5G'!E60</f>
        <v>33197822</v>
      </c>
      <c r="I55" s="202">
        <f t="shared" ref="I55:I57" si="20">+H55*E55</f>
        <v>33197822</v>
      </c>
      <c r="J55" s="212">
        <f t="shared" ref="J55:J57" si="21">+I55-G55</f>
        <v>-9273335</v>
      </c>
      <c r="K55" s="270" t="s">
        <v>14</v>
      </c>
      <c r="L55" s="271"/>
      <c r="M55" s="271"/>
    </row>
    <row r="56" spans="2:16" ht="31.5" customHeight="1">
      <c r="B56" s="280"/>
      <c r="C56" s="280"/>
      <c r="D56" s="176" t="s">
        <v>15</v>
      </c>
      <c r="E56" s="131">
        <v>1</v>
      </c>
      <c r="F56" s="202">
        <f t="shared" si="18"/>
        <v>45837757</v>
      </c>
      <c r="G56" s="202">
        <f t="shared" si="19"/>
        <v>45837757</v>
      </c>
      <c r="H56" s="202">
        <f>'Camry 2.5G'!H60</f>
        <v>38273422</v>
      </c>
      <c r="I56" s="202">
        <f t="shared" si="20"/>
        <v>38273422</v>
      </c>
      <c r="J56" s="212">
        <f t="shared" si="21"/>
        <v>-7564335</v>
      </c>
      <c r="K56" s="270" t="s">
        <v>16</v>
      </c>
      <c r="L56" s="271"/>
      <c r="M56" s="271"/>
    </row>
    <row r="57" spans="2:16" ht="31.5" customHeight="1">
      <c r="B57" s="280"/>
      <c r="C57" s="280"/>
      <c r="D57" s="176" t="s">
        <v>17</v>
      </c>
      <c r="E57" s="131">
        <v>1</v>
      </c>
      <c r="F57" s="202">
        <f t="shared" si="18"/>
        <v>44133157</v>
      </c>
      <c r="G57" s="202">
        <f t="shared" si="19"/>
        <v>44133157</v>
      </c>
      <c r="H57" s="202">
        <f>'Camry 2.5G'!K60</f>
        <v>35764522</v>
      </c>
      <c r="I57" s="202">
        <f t="shared" si="20"/>
        <v>35764522</v>
      </c>
      <c r="J57" s="212">
        <f t="shared" si="21"/>
        <v>-8368635</v>
      </c>
      <c r="K57" s="271"/>
      <c r="L57" s="271"/>
      <c r="M57" s="271"/>
    </row>
    <row r="58" spans="2:16" ht="31.5" customHeight="1">
      <c r="B58" s="281"/>
      <c r="C58" s="281"/>
      <c r="D58" s="194" t="s">
        <v>48</v>
      </c>
      <c r="E58" s="178">
        <f t="shared" ref="E58:J58" si="22">SUM(E55:E57)</f>
        <v>3</v>
      </c>
      <c r="F58" s="214">
        <f t="shared" si="22"/>
        <v>132442071</v>
      </c>
      <c r="G58" s="214">
        <f t="shared" si="22"/>
        <v>132442071</v>
      </c>
      <c r="H58" s="214">
        <f t="shared" si="22"/>
        <v>107235766</v>
      </c>
      <c r="I58" s="214">
        <f t="shared" si="22"/>
        <v>107235766</v>
      </c>
      <c r="J58" s="217">
        <f t="shared" si="22"/>
        <v>-25206305</v>
      </c>
      <c r="K58" s="272" t="s">
        <v>49</v>
      </c>
      <c r="L58" s="273"/>
      <c r="M58" s="273"/>
      <c r="N58" s="21">
        <f>J54-J58</f>
        <v>21635834</v>
      </c>
    </row>
    <row r="59" spans="2:16" ht="27" customHeight="1">
      <c r="B59" s="279" t="s">
        <v>6</v>
      </c>
      <c r="C59" s="279" t="s">
        <v>50</v>
      </c>
      <c r="D59" s="176" t="s">
        <v>10</v>
      </c>
      <c r="E59" s="131">
        <v>11</v>
      </c>
      <c r="F59" s="202">
        <f t="shared" ref="F59:F63" si="23">+G59/E59</f>
        <v>31078772.727272727</v>
      </c>
      <c r="G59" s="202">
        <f>'Innova '!E16</f>
        <v>341866500</v>
      </c>
      <c r="H59" s="202">
        <f t="shared" ref="H59:H63" si="24">+I59/E59</f>
        <v>30564345.272727273</v>
      </c>
      <c r="I59" s="202">
        <f>'Innova '!T78</f>
        <v>336207798</v>
      </c>
      <c r="J59" s="212">
        <f t="shared" ref="J59:J63" si="25">+I59-G59</f>
        <v>-5658702</v>
      </c>
      <c r="K59" s="270" t="s">
        <v>24</v>
      </c>
      <c r="L59" s="271"/>
      <c r="M59" s="271"/>
      <c r="N59" s="133">
        <f>N58/23000</f>
        <v>940.68843478260874</v>
      </c>
      <c r="O59">
        <f t="shared" ref="O59:O62" si="26">+F59/4000</f>
        <v>7769.693181818182</v>
      </c>
      <c r="P59">
        <f t="shared" ref="P59:P62" si="27">+H59/4300</f>
        <v>7107.9872727272732</v>
      </c>
    </row>
    <row r="60" spans="2:16" ht="28.5" customHeight="1">
      <c r="B60" s="280"/>
      <c r="C60" s="280"/>
      <c r="D60" s="176" t="s">
        <v>15</v>
      </c>
      <c r="E60" s="131">
        <v>7</v>
      </c>
      <c r="F60" s="202">
        <f t="shared" si="23"/>
        <v>31942000</v>
      </c>
      <c r="G60" s="202">
        <f>'Innova '!H16</f>
        <v>223594000</v>
      </c>
      <c r="H60" s="202">
        <f t="shared" si="24"/>
        <v>34883295.142857142</v>
      </c>
      <c r="I60" s="202">
        <f>'Innova '!W78</f>
        <v>244183066</v>
      </c>
      <c r="J60" s="212">
        <f t="shared" si="25"/>
        <v>20589066</v>
      </c>
      <c r="K60" s="291" t="s">
        <v>135</v>
      </c>
      <c r="L60" s="292"/>
      <c r="M60" s="293"/>
      <c r="N60" s="22" t="s">
        <v>52</v>
      </c>
      <c r="O60">
        <f t="shared" si="26"/>
        <v>7985.5</v>
      </c>
      <c r="P60">
        <f t="shared" si="27"/>
        <v>8112.3942192691029</v>
      </c>
    </row>
    <row r="61" spans="2:16" ht="28.5" customHeight="1">
      <c r="B61" s="280"/>
      <c r="C61" s="280"/>
      <c r="D61" s="215" t="s">
        <v>17</v>
      </c>
      <c r="E61" s="131">
        <v>1</v>
      </c>
      <c r="F61" s="202">
        <f t="shared" si="23"/>
        <v>44789186</v>
      </c>
      <c r="G61" s="202">
        <f>'Innova '!E32</f>
        <v>44789186</v>
      </c>
      <c r="H61" s="202">
        <f t="shared" si="24"/>
        <v>35320438</v>
      </c>
      <c r="I61" s="202">
        <f>'Innova '!H32</f>
        <v>35320438</v>
      </c>
      <c r="J61" s="212">
        <f t="shared" si="25"/>
        <v>-9468748</v>
      </c>
      <c r="K61" s="294"/>
      <c r="L61" s="295"/>
      <c r="M61" s="296"/>
      <c r="N61" s="22"/>
      <c r="O61">
        <f t="shared" si="26"/>
        <v>11197.2965</v>
      </c>
      <c r="P61">
        <f t="shared" si="27"/>
        <v>8214.0553488372097</v>
      </c>
    </row>
    <row r="62" spans="2:16" ht="28.5" customHeight="1">
      <c r="B62" s="280"/>
      <c r="C62" s="281"/>
      <c r="D62" s="176" t="s">
        <v>17</v>
      </c>
      <c r="E62" s="131">
        <v>7</v>
      </c>
      <c r="F62" s="202">
        <f t="shared" si="23"/>
        <v>31579357.142857142</v>
      </c>
      <c r="G62" s="202">
        <f>'Innova '!K16</f>
        <v>221055500</v>
      </c>
      <c r="H62" s="202">
        <f t="shared" si="24"/>
        <v>34611866.571428575</v>
      </c>
      <c r="I62" s="202">
        <f>'Innova '!Z78</f>
        <v>242283066</v>
      </c>
      <c r="J62" s="212">
        <f t="shared" si="25"/>
        <v>21227566</v>
      </c>
      <c r="K62" s="297"/>
      <c r="L62" s="298"/>
      <c r="M62" s="299"/>
      <c r="O62">
        <f t="shared" si="26"/>
        <v>7894.8392857142853</v>
      </c>
      <c r="P62">
        <f t="shared" si="27"/>
        <v>8049.2712956810637</v>
      </c>
    </row>
    <row r="63" spans="2:16" ht="37.5" customHeight="1">
      <c r="B63" s="280"/>
      <c r="C63" s="162" t="s">
        <v>53</v>
      </c>
      <c r="D63" s="176" t="s">
        <v>15</v>
      </c>
      <c r="E63" s="131">
        <v>1</v>
      </c>
      <c r="F63" s="202">
        <f t="shared" si="23"/>
        <v>44977000</v>
      </c>
      <c r="G63" s="202">
        <f>'Innova '!N16</f>
        <v>44977000</v>
      </c>
      <c r="H63" s="202">
        <f t="shared" si="24"/>
        <v>41645677.777777798</v>
      </c>
      <c r="I63" s="202">
        <f>'Innova '!AC78</f>
        <v>41645677.777777798</v>
      </c>
      <c r="J63" s="212">
        <f t="shared" si="25"/>
        <v>-3331322.2222222015</v>
      </c>
      <c r="K63" s="270" t="s">
        <v>54</v>
      </c>
      <c r="L63" s="271"/>
      <c r="M63" s="271"/>
      <c r="O63">
        <f>+F63/2600</f>
        <v>17298.846153846152</v>
      </c>
      <c r="P63">
        <f>+H63/4500</f>
        <v>9254.5950617283997</v>
      </c>
    </row>
    <row r="64" spans="2:16" ht="25.5" customHeight="1">
      <c r="B64" s="281"/>
      <c r="C64" s="213"/>
      <c r="D64" s="194" t="s">
        <v>48</v>
      </c>
      <c r="E64" s="178">
        <f t="shared" ref="E64:J64" si="28">SUM(E59:E63)</f>
        <v>27</v>
      </c>
      <c r="F64" s="214">
        <f t="shared" si="28"/>
        <v>184366315.87012985</v>
      </c>
      <c r="G64" s="214">
        <f t="shared" si="28"/>
        <v>876282186</v>
      </c>
      <c r="H64" s="214">
        <f t="shared" si="28"/>
        <v>177025622.76479077</v>
      </c>
      <c r="I64" s="214">
        <f t="shared" si="28"/>
        <v>899640045.77777779</v>
      </c>
      <c r="J64" s="217">
        <f t="shared" si="28"/>
        <v>23357859.777777798</v>
      </c>
      <c r="K64" s="272" t="s">
        <v>55</v>
      </c>
      <c r="L64" s="273"/>
      <c r="M64" s="273"/>
      <c r="O64" s="21"/>
    </row>
    <row r="65" spans="2:15" ht="27" customHeight="1">
      <c r="B65" s="279" t="s">
        <v>5</v>
      </c>
      <c r="C65" s="279" t="s">
        <v>50</v>
      </c>
      <c r="D65" s="176" t="s">
        <v>10</v>
      </c>
      <c r="E65" s="131">
        <v>11</v>
      </c>
      <c r="F65" s="202">
        <f t="shared" ref="F65:F69" si="29">+G65/E65</f>
        <v>31078772.727272727</v>
      </c>
      <c r="G65" s="202">
        <f t="shared" ref="G65:G69" si="30">G59</f>
        <v>341866500</v>
      </c>
      <c r="H65" s="202">
        <f t="shared" ref="H65:H69" si="31">+I65/E65</f>
        <v>35651556.363636367</v>
      </c>
      <c r="I65" s="202">
        <f>'Innova '!T62</f>
        <v>392167120</v>
      </c>
      <c r="J65" s="212">
        <f t="shared" ref="J65:J69" si="32">+I65-G65</f>
        <v>50300620</v>
      </c>
      <c r="K65" s="270" t="s">
        <v>24</v>
      </c>
      <c r="L65" s="271"/>
      <c r="M65" s="271"/>
    </row>
    <row r="66" spans="2:15" ht="28.5" customHeight="1">
      <c r="B66" s="280"/>
      <c r="C66" s="280"/>
      <c r="D66" s="176" t="s">
        <v>15</v>
      </c>
      <c r="E66" s="131">
        <v>7</v>
      </c>
      <c r="F66" s="202">
        <f t="shared" si="29"/>
        <v>31942000</v>
      </c>
      <c r="G66" s="202">
        <f t="shared" si="30"/>
        <v>223594000</v>
      </c>
      <c r="H66" s="202">
        <f t="shared" si="31"/>
        <v>39540508.571428575</v>
      </c>
      <c r="I66" s="202">
        <f>'Innova '!W62</f>
        <v>276783560</v>
      </c>
      <c r="J66" s="212">
        <f t="shared" si="32"/>
        <v>53189560</v>
      </c>
      <c r="K66" s="291" t="s">
        <v>135</v>
      </c>
      <c r="L66" s="292"/>
      <c r="M66" s="293"/>
      <c r="N66" s="22" t="s">
        <v>52</v>
      </c>
    </row>
    <row r="67" spans="2:15" ht="28.5" customHeight="1">
      <c r="B67" s="280"/>
      <c r="C67" s="280"/>
      <c r="D67" s="176" t="s">
        <v>17</v>
      </c>
      <c r="E67" s="131">
        <v>1</v>
      </c>
      <c r="F67" s="202">
        <f>+F61</f>
        <v>44789186</v>
      </c>
      <c r="G67" s="202">
        <f t="shared" si="30"/>
        <v>44789186</v>
      </c>
      <c r="H67" s="202">
        <f t="shared" si="31"/>
        <v>38479080</v>
      </c>
      <c r="I67" s="202">
        <f>'Innova '!K32</f>
        <v>38479080</v>
      </c>
      <c r="J67" s="212">
        <f t="shared" si="32"/>
        <v>-6310106</v>
      </c>
      <c r="K67" s="294"/>
      <c r="L67" s="295"/>
      <c r="M67" s="296"/>
      <c r="N67" s="22"/>
    </row>
    <row r="68" spans="2:15" ht="28.5" customHeight="1">
      <c r="B68" s="280"/>
      <c r="C68" s="281"/>
      <c r="D68" s="176" t="s">
        <v>17</v>
      </c>
      <c r="E68" s="131">
        <v>7</v>
      </c>
      <c r="F68" s="202">
        <f t="shared" si="29"/>
        <v>31579357.142857142</v>
      </c>
      <c r="G68" s="202">
        <f t="shared" si="30"/>
        <v>221055500</v>
      </c>
      <c r="H68" s="202">
        <f t="shared" si="31"/>
        <v>39195270.47619047</v>
      </c>
      <c r="I68" s="202">
        <f>'Innova '!Z62</f>
        <v>274366893.33333331</v>
      </c>
      <c r="J68" s="212">
        <f t="shared" si="32"/>
        <v>53311393.333333313</v>
      </c>
      <c r="K68" s="297"/>
      <c r="L68" s="298"/>
      <c r="M68" s="299"/>
    </row>
    <row r="69" spans="2:15" ht="37.5" customHeight="1">
      <c r="B69" s="280"/>
      <c r="C69" s="162" t="s">
        <v>53</v>
      </c>
      <c r="D69" s="176" t="s">
        <v>15</v>
      </c>
      <c r="E69" s="131">
        <v>1</v>
      </c>
      <c r="F69" s="202">
        <f t="shared" si="29"/>
        <v>44977000</v>
      </c>
      <c r="G69" s="202">
        <f t="shared" si="30"/>
        <v>44977000</v>
      </c>
      <c r="H69" s="202">
        <f t="shared" si="31"/>
        <v>47240200</v>
      </c>
      <c r="I69" s="202">
        <f>'Innova '!AC62</f>
        <v>47240200</v>
      </c>
      <c r="J69" s="212">
        <f t="shared" si="32"/>
        <v>2263200</v>
      </c>
      <c r="K69" s="270" t="s">
        <v>54</v>
      </c>
      <c r="L69" s="271"/>
      <c r="M69" s="271"/>
    </row>
    <row r="70" spans="2:15" ht="26.25" customHeight="1">
      <c r="B70" s="281"/>
      <c r="C70" s="213"/>
      <c r="D70" s="194" t="s">
        <v>48</v>
      </c>
      <c r="E70" s="178">
        <f t="shared" ref="E70:J70" si="33">SUM(E65:E69)</f>
        <v>27</v>
      </c>
      <c r="F70" s="214">
        <f t="shared" si="33"/>
        <v>184366315.87012985</v>
      </c>
      <c r="G70" s="214">
        <f t="shared" si="33"/>
        <v>876282186</v>
      </c>
      <c r="H70" s="214">
        <f t="shared" si="33"/>
        <v>200106615.41125542</v>
      </c>
      <c r="I70" s="214">
        <v>0</v>
      </c>
      <c r="J70" s="217">
        <f t="shared" si="33"/>
        <v>152754667.33333331</v>
      </c>
      <c r="K70" s="272" t="s">
        <v>57</v>
      </c>
      <c r="L70" s="273"/>
      <c r="M70" s="273"/>
      <c r="O70" s="21"/>
    </row>
    <row r="71" spans="2:15" ht="27" customHeight="1">
      <c r="B71" s="279" t="s">
        <v>7</v>
      </c>
      <c r="C71" s="279" t="s">
        <v>50</v>
      </c>
      <c r="D71" s="176" t="s">
        <v>10</v>
      </c>
      <c r="E71" s="131">
        <v>11</v>
      </c>
      <c r="F71" s="202">
        <f t="shared" ref="F71:F75" si="34">+G71/E71</f>
        <v>31078772.727272727</v>
      </c>
      <c r="G71" s="202">
        <f t="shared" ref="G71:G75" si="35">G65</f>
        <v>341866500</v>
      </c>
      <c r="H71" s="202">
        <f t="shared" ref="H71:H75" si="36">+I71/E71</f>
        <v>35291037.909090906</v>
      </c>
      <c r="I71" s="202">
        <f>'Innova '!T99</f>
        <v>388201417</v>
      </c>
      <c r="J71" s="212">
        <f t="shared" ref="J71:J75" si="37">+I71-G71</f>
        <v>46334917</v>
      </c>
      <c r="K71" s="270" t="s">
        <v>24</v>
      </c>
      <c r="L71" s="271"/>
      <c r="M71" s="271"/>
    </row>
    <row r="72" spans="2:15" ht="28.5" customHeight="1">
      <c r="B72" s="280"/>
      <c r="C72" s="280"/>
      <c r="D72" s="176" t="s">
        <v>15</v>
      </c>
      <c r="E72" s="131">
        <v>7</v>
      </c>
      <c r="F72" s="202">
        <f t="shared" si="34"/>
        <v>31942000</v>
      </c>
      <c r="G72" s="202">
        <f t="shared" si="35"/>
        <v>223594000</v>
      </c>
      <c r="H72" s="202">
        <f t="shared" si="36"/>
        <v>38196335.142857142</v>
      </c>
      <c r="I72" s="202">
        <f>'Innova '!W99</f>
        <v>267374346</v>
      </c>
      <c r="J72" s="212">
        <f t="shared" si="37"/>
        <v>43780346</v>
      </c>
      <c r="K72" s="291" t="s">
        <v>135</v>
      </c>
      <c r="L72" s="292"/>
      <c r="M72" s="293"/>
      <c r="N72" s="22" t="s">
        <v>52</v>
      </c>
    </row>
    <row r="73" spans="2:15" ht="28.5" customHeight="1">
      <c r="B73" s="280"/>
      <c r="C73" s="280"/>
      <c r="D73" s="176" t="s">
        <v>17</v>
      </c>
      <c r="E73" s="131">
        <v>1</v>
      </c>
      <c r="F73" s="202">
        <f>+F61</f>
        <v>44789186</v>
      </c>
      <c r="G73" s="202">
        <f t="shared" si="35"/>
        <v>44789186</v>
      </c>
      <c r="H73" s="202">
        <f t="shared" si="36"/>
        <v>265482679.33333334</v>
      </c>
      <c r="I73" s="202">
        <f>'Innova '!Z99</f>
        <v>265482679.33333334</v>
      </c>
      <c r="J73" s="212">
        <f t="shared" si="37"/>
        <v>220693493.33333334</v>
      </c>
      <c r="K73" s="294"/>
      <c r="L73" s="295"/>
      <c r="M73" s="296"/>
      <c r="N73" s="22"/>
    </row>
    <row r="74" spans="2:15" ht="28.5" customHeight="1">
      <c r="B74" s="280"/>
      <c r="C74" s="281"/>
      <c r="D74" s="176" t="s">
        <v>17</v>
      </c>
      <c r="E74" s="131">
        <v>7</v>
      </c>
      <c r="F74" s="202">
        <f t="shared" si="34"/>
        <v>31579357.142857142</v>
      </c>
      <c r="G74" s="202">
        <f t="shared" si="35"/>
        <v>221055500</v>
      </c>
      <c r="H74" s="202">
        <f t="shared" si="36"/>
        <v>5516925.4285714282</v>
      </c>
      <c r="I74" s="202">
        <f>'Innova '!N32</f>
        <v>38618478</v>
      </c>
      <c r="J74" s="212">
        <f t="shared" si="37"/>
        <v>-182437022</v>
      </c>
      <c r="K74" s="297"/>
      <c r="L74" s="298"/>
      <c r="M74" s="299"/>
    </row>
    <row r="75" spans="2:15" ht="37.5" customHeight="1">
      <c r="B75" s="280"/>
      <c r="C75" s="162" t="s">
        <v>53</v>
      </c>
      <c r="D75" s="176" t="s">
        <v>15</v>
      </c>
      <c r="E75" s="131">
        <v>1</v>
      </c>
      <c r="F75" s="202">
        <f t="shared" si="34"/>
        <v>44977000</v>
      </c>
      <c r="G75" s="202">
        <f t="shared" si="35"/>
        <v>44977000</v>
      </c>
      <c r="H75" s="202">
        <f t="shared" si="36"/>
        <v>43909973</v>
      </c>
      <c r="I75" s="202">
        <f>'Innova '!AC99</f>
        <v>43909973</v>
      </c>
      <c r="J75" s="212">
        <f t="shared" si="37"/>
        <v>-1067027</v>
      </c>
      <c r="K75" s="270" t="s">
        <v>54</v>
      </c>
      <c r="L75" s="271"/>
      <c r="M75" s="271"/>
    </row>
    <row r="76" spans="2:15" ht="25.5" customHeight="1">
      <c r="B76" s="281"/>
      <c r="C76" s="213"/>
      <c r="D76" s="194" t="s">
        <v>48</v>
      </c>
      <c r="E76" s="178">
        <f t="shared" ref="E76:J76" si="38">SUM(E71:E75)</f>
        <v>27</v>
      </c>
      <c r="F76" s="214">
        <f t="shared" si="38"/>
        <v>184366315.87012985</v>
      </c>
      <c r="G76" s="214">
        <f t="shared" si="38"/>
        <v>876282186</v>
      </c>
      <c r="H76" s="214">
        <f t="shared" si="38"/>
        <v>388396950.81385279</v>
      </c>
      <c r="I76" s="214">
        <f t="shared" si="38"/>
        <v>1003586893.3333334</v>
      </c>
      <c r="J76" s="217">
        <f t="shared" si="38"/>
        <v>127304707.33333337</v>
      </c>
      <c r="K76" s="272" t="s">
        <v>56</v>
      </c>
      <c r="L76" s="273"/>
      <c r="M76" s="273"/>
      <c r="O76" s="21"/>
    </row>
    <row r="77" spans="2:15" ht="27" customHeight="1">
      <c r="B77" s="279" t="s">
        <v>6</v>
      </c>
      <c r="C77" s="279" t="s">
        <v>58</v>
      </c>
      <c r="D77" s="176" t="s">
        <v>10</v>
      </c>
      <c r="E77" s="131">
        <v>11</v>
      </c>
      <c r="F77" s="202">
        <f t="shared" ref="F77:F81" si="39">+G77/E77</f>
        <v>0</v>
      </c>
      <c r="G77" s="202"/>
      <c r="H77" s="202">
        <f t="shared" ref="H77:H81" si="40">+I77/E77</f>
        <v>29316184.90909091</v>
      </c>
      <c r="I77" s="202">
        <f>Xpander!T59</f>
        <v>322478034</v>
      </c>
      <c r="J77" s="212">
        <f t="shared" ref="J77:J81" si="41">+I77-G77</f>
        <v>322478034</v>
      </c>
      <c r="K77" s="270" t="s">
        <v>24</v>
      </c>
      <c r="L77" s="271"/>
      <c r="M77" s="271"/>
    </row>
    <row r="78" spans="2:15" ht="28.5" customHeight="1">
      <c r="B78" s="280"/>
      <c r="C78" s="280"/>
      <c r="D78" s="176" t="s">
        <v>15</v>
      </c>
      <c r="E78" s="131">
        <v>7</v>
      </c>
      <c r="F78" s="202">
        <f t="shared" si="39"/>
        <v>0</v>
      </c>
      <c r="G78" s="202"/>
      <c r="H78" s="202">
        <f t="shared" si="40"/>
        <v>33641628.285714284</v>
      </c>
      <c r="I78" s="202">
        <f>Xpander!W59</f>
        <v>235491398</v>
      </c>
      <c r="J78" s="212">
        <f t="shared" si="41"/>
        <v>235491398</v>
      </c>
      <c r="K78" s="291" t="s">
        <v>135</v>
      </c>
      <c r="L78" s="292"/>
      <c r="M78" s="293"/>
      <c r="N78" s="22" t="s">
        <v>52</v>
      </c>
    </row>
    <row r="79" spans="2:15" ht="28.5" customHeight="1">
      <c r="B79" s="280"/>
      <c r="C79" s="280"/>
      <c r="D79" s="176" t="s">
        <v>17</v>
      </c>
      <c r="E79" s="131">
        <v>1</v>
      </c>
      <c r="F79" s="202">
        <f t="shared" si="39"/>
        <v>0</v>
      </c>
      <c r="G79" s="202"/>
      <c r="H79" s="202">
        <f t="shared" si="40"/>
        <v>34060914</v>
      </c>
      <c r="I79" s="202">
        <f>Xpander!AF59</f>
        <v>34060914</v>
      </c>
      <c r="J79" s="212">
        <f t="shared" si="41"/>
        <v>34060914</v>
      </c>
      <c r="K79" s="294"/>
      <c r="L79" s="295"/>
      <c r="M79" s="296"/>
      <c r="N79" s="22"/>
    </row>
    <row r="80" spans="2:15" ht="28.5" customHeight="1">
      <c r="B80" s="280"/>
      <c r="C80" s="281"/>
      <c r="D80" s="176" t="s">
        <v>17</v>
      </c>
      <c r="E80" s="131">
        <v>7</v>
      </c>
      <c r="F80" s="202">
        <f t="shared" si="39"/>
        <v>0</v>
      </c>
      <c r="G80" s="202"/>
      <c r="H80" s="202">
        <f t="shared" si="40"/>
        <v>33363056.857142854</v>
      </c>
      <c r="I80" s="202">
        <f>Xpander!Z59</f>
        <v>233541397.99999997</v>
      </c>
      <c r="J80" s="212">
        <f t="shared" si="41"/>
        <v>233541397.99999997</v>
      </c>
      <c r="K80" s="297"/>
      <c r="L80" s="298"/>
      <c r="M80" s="299"/>
    </row>
    <row r="81" spans="2:15" ht="37.5" customHeight="1">
      <c r="B81" s="280"/>
      <c r="C81" s="162" t="s">
        <v>59</v>
      </c>
      <c r="D81" s="176" t="s">
        <v>15</v>
      </c>
      <c r="E81" s="131">
        <v>1</v>
      </c>
      <c r="F81" s="202">
        <f t="shared" si="39"/>
        <v>0</v>
      </c>
      <c r="G81" s="202"/>
      <c r="H81" s="202">
        <f t="shared" si="40"/>
        <v>40261153.968254</v>
      </c>
      <c r="I81" s="202">
        <f>Xpander!AC59</f>
        <v>40261153.968254</v>
      </c>
      <c r="J81" s="212">
        <f t="shared" si="41"/>
        <v>40261153.968254</v>
      </c>
      <c r="K81" s="270" t="s">
        <v>54</v>
      </c>
      <c r="L81" s="271"/>
      <c r="M81" s="271"/>
    </row>
    <row r="82" spans="2:15" ht="25.5" customHeight="1">
      <c r="B82" s="281"/>
      <c r="C82" s="213"/>
      <c r="D82" s="194" t="s">
        <v>48</v>
      </c>
      <c r="E82" s="178">
        <f t="shared" ref="E82:J82" si="42">SUM(E77:E81)</f>
        <v>27</v>
      </c>
      <c r="F82" s="214">
        <f t="shared" si="42"/>
        <v>0</v>
      </c>
      <c r="G82" s="214">
        <f t="shared" si="42"/>
        <v>0</v>
      </c>
      <c r="H82" s="214">
        <f t="shared" si="42"/>
        <v>170642938.02020204</v>
      </c>
      <c r="I82" s="214">
        <f t="shared" si="42"/>
        <v>865832897.96825397</v>
      </c>
      <c r="J82" s="217">
        <f t="shared" si="42"/>
        <v>865832897.96825397</v>
      </c>
      <c r="K82" s="273"/>
      <c r="L82" s="273"/>
      <c r="M82" s="273"/>
      <c r="O82" s="21"/>
    </row>
    <row r="83" spans="2:15" ht="32.1" customHeight="1">
      <c r="B83" s="276" t="s">
        <v>4</v>
      </c>
      <c r="C83" s="276" t="s">
        <v>60</v>
      </c>
      <c r="D83" s="176" t="s">
        <v>61</v>
      </c>
      <c r="E83" s="131">
        <v>18</v>
      </c>
      <c r="F83" s="202">
        <f>G83/E83</f>
        <v>43991472.081349209</v>
      </c>
      <c r="G83" s="202">
        <f>'11 seats (Hiace)'!E15</f>
        <v>791846497.46428573</v>
      </c>
      <c r="H83" s="202">
        <f>I83/E83</f>
        <v>41572091.359126985</v>
      </c>
      <c r="I83" s="243">
        <f>'11 seats (Hiace)'!Q30</f>
        <v>748297644.46428573</v>
      </c>
      <c r="J83" s="212">
        <f>+I83-G83</f>
        <v>-43548853</v>
      </c>
      <c r="K83" s="270" t="s">
        <v>62</v>
      </c>
      <c r="L83" s="271"/>
      <c r="M83" s="271"/>
    </row>
    <row r="84" spans="2:15" ht="30" customHeight="1">
      <c r="B84" s="277"/>
      <c r="C84" s="277"/>
      <c r="D84" s="176" t="s">
        <v>63</v>
      </c>
      <c r="E84" s="131">
        <v>10</v>
      </c>
      <c r="F84" s="202">
        <f>G84/E84</f>
        <v>47874595.346428573</v>
      </c>
      <c r="G84" s="202">
        <f>'11 seats (Hiace)'!Q15</f>
        <v>478745953.46428573</v>
      </c>
      <c r="H84" s="202">
        <f>I84/E84</f>
        <v>45255284.446428567</v>
      </c>
      <c r="I84" s="202">
        <f>'11 seats (Hiace)'!Q45</f>
        <v>452552844.46428567</v>
      </c>
      <c r="J84" s="212">
        <f>+I84-G84</f>
        <v>-26193109.00000006</v>
      </c>
      <c r="K84" s="271"/>
      <c r="L84" s="271"/>
      <c r="M84" s="271"/>
    </row>
    <row r="85" spans="2:15" ht="33" customHeight="1">
      <c r="B85" s="277"/>
      <c r="C85" s="277"/>
      <c r="D85" s="162" t="s">
        <v>64</v>
      </c>
      <c r="E85" s="176">
        <v>8</v>
      </c>
      <c r="F85" s="218"/>
      <c r="G85" s="218"/>
      <c r="H85" s="202">
        <f>'11 seats (Hiace)'!O60</f>
        <v>52823000</v>
      </c>
      <c r="I85" s="202">
        <f t="shared" ref="I85:I88" si="43">H85*$E$85</f>
        <v>422584000</v>
      </c>
      <c r="J85" s="219"/>
      <c r="K85" s="271"/>
      <c r="L85" s="271"/>
      <c r="M85" s="271"/>
    </row>
    <row r="86" spans="2:15" ht="33" customHeight="1">
      <c r="B86" s="277"/>
      <c r="C86" s="277"/>
      <c r="D86" s="162" t="s">
        <v>65</v>
      </c>
      <c r="E86" s="176">
        <v>8</v>
      </c>
      <c r="F86" s="218"/>
      <c r="G86" s="218"/>
      <c r="H86" s="202">
        <f>'11 seats (Hiace)'!O74</f>
        <v>48728000</v>
      </c>
      <c r="I86" s="202">
        <f t="shared" si="43"/>
        <v>389824000</v>
      </c>
      <c r="J86" s="219"/>
      <c r="K86" s="271"/>
      <c r="L86" s="271"/>
      <c r="M86" s="271"/>
    </row>
    <row r="87" spans="2:15" ht="33" customHeight="1">
      <c r="B87" s="277"/>
      <c r="C87" s="277"/>
      <c r="D87" s="162" t="s">
        <v>66</v>
      </c>
      <c r="E87" s="176">
        <v>8</v>
      </c>
      <c r="F87" s="218"/>
      <c r="G87" s="218"/>
      <c r="H87" s="202">
        <f>'11 seats (Transit)'!O96</f>
        <v>45794000</v>
      </c>
      <c r="I87" s="202">
        <f t="shared" si="43"/>
        <v>366352000</v>
      </c>
      <c r="J87" s="219"/>
      <c r="K87" s="271"/>
      <c r="L87" s="271"/>
      <c r="M87" s="271"/>
    </row>
    <row r="88" spans="2:15" ht="36.75" customHeight="1">
      <c r="B88" s="277"/>
      <c r="C88" s="277"/>
      <c r="D88" s="162" t="s">
        <v>67</v>
      </c>
      <c r="E88" s="176">
        <v>8</v>
      </c>
      <c r="F88" s="218"/>
      <c r="G88" s="218"/>
      <c r="H88" s="202">
        <f>'11 seats (Transit)'!O126</f>
        <v>42657000</v>
      </c>
      <c r="I88" s="202">
        <f t="shared" si="43"/>
        <v>341256000</v>
      </c>
      <c r="J88" s="219"/>
      <c r="K88" s="271"/>
      <c r="L88" s="271"/>
      <c r="M88" s="271"/>
    </row>
    <row r="89" spans="2:15" ht="33" customHeight="1">
      <c r="B89" s="277"/>
      <c r="C89" s="277"/>
      <c r="D89" s="162" t="s">
        <v>68</v>
      </c>
      <c r="E89" s="176" t="s">
        <v>69</v>
      </c>
      <c r="F89" s="218"/>
      <c r="G89" s="218"/>
      <c r="H89" s="202">
        <f>I89/8</f>
        <v>49308500</v>
      </c>
      <c r="I89" s="202">
        <f>4*H85+4*H87</f>
        <v>394468000</v>
      </c>
      <c r="J89" s="219"/>
      <c r="K89" s="271"/>
      <c r="L89" s="271"/>
      <c r="M89" s="271"/>
    </row>
    <row r="90" spans="2:15" ht="33" customHeight="1">
      <c r="B90" s="277"/>
      <c r="C90" s="277"/>
      <c r="D90" s="162" t="s">
        <v>70</v>
      </c>
      <c r="E90" s="176" t="s">
        <v>69</v>
      </c>
      <c r="F90" s="218"/>
      <c r="G90" s="218"/>
      <c r="H90" s="202">
        <f>I90/8</f>
        <v>45692500</v>
      </c>
      <c r="I90" s="202">
        <f>4*H86+4*H88</f>
        <v>365540000</v>
      </c>
      <c r="J90" s="219"/>
      <c r="K90" s="271"/>
      <c r="L90" s="271"/>
      <c r="M90" s="271"/>
    </row>
    <row r="91" spans="2:15" ht="33" customHeight="1">
      <c r="B91" s="277"/>
      <c r="C91" s="277"/>
      <c r="D91" s="176" t="s">
        <v>71</v>
      </c>
      <c r="E91" s="176"/>
      <c r="F91" s="202"/>
      <c r="G91" s="202">
        <f t="shared" ref="G91:G96" si="44">$G$83</f>
        <v>791846497.46428573</v>
      </c>
      <c r="H91" s="202"/>
      <c r="I91" s="202">
        <f t="shared" ref="I91:I96" si="45">$I$84+I85</f>
        <v>875136844.46428561</v>
      </c>
      <c r="J91" s="212">
        <f t="shared" ref="J91:J98" si="46">+I91-G91</f>
        <v>83290346.999999881</v>
      </c>
      <c r="K91" s="271"/>
      <c r="L91" s="271"/>
      <c r="M91" s="271"/>
    </row>
    <row r="92" spans="2:15" ht="33" customHeight="1">
      <c r="B92" s="277"/>
      <c r="C92" s="277"/>
      <c r="D92" s="176" t="s">
        <v>72</v>
      </c>
      <c r="E92" s="176"/>
      <c r="F92" s="202"/>
      <c r="G92" s="202">
        <f t="shared" si="44"/>
        <v>791846497.46428573</v>
      </c>
      <c r="H92" s="202"/>
      <c r="I92" s="202">
        <f t="shared" si="45"/>
        <v>842376844.46428561</v>
      </c>
      <c r="J92" s="212">
        <f t="shared" si="46"/>
        <v>50530346.999999881</v>
      </c>
      <c r="K92" s="271"/>
      <c r="L92" s="271"/>
      <c r="M92" s="271"/>
    </row>
    <row r="93" spans="2:15" ht="33" customHeight="1">
      <c r="B93" s="277"/>
      <c r="C93" s="277"/>
      <c r="D93" s="176" t="s">
        <v>73</v>
      </c>
      <c r="E93" s="176"/>
      <c r="F93" s="202"/>
      <c r="G93" s="202">
        <f t="shared" si="44"/>
        <v>791846497.46428573</v>
      </c>
      <c r="H93" s="202"/>
      <c r="I93" s="202">
        <f t="shared" si="45"/>
        <v>818904844.46428561</v>
      </c>
      <c r="J93" s="212">
        <f t="shared" si="46"/>
        <v>27058346.999999881</v>
      </c>
      <c r="K93" s="271"/>
      <c r="L93" s="271"/>
      <c r="M93" s="271"/>
    </row>
    <row r="94" spans="2:15" ht="33" customHeight="1">
      <c r="B94" s="277"/>
      <c r="C94" s="277"/>
      <c r="D94" s="176" t="s">
        <v>74</v>
      </c>
      <c r="E94" s="176"/>
      <c r="F94" s="202"/>
      <c r="G94" s="202">
        <f t="shared" si="44"/>
        <v>791846497.46428573</v>
      </c>
      <c r="H94" s="202"/>
      <c r="I94" s="202">
        <f t="shared" si="45"/>
        <v>793808844.46428561</v>
      </c>
      <c r="J94" s="212">
        <f t="shared" si="46"/>
        <v>1962346.9999998808</v>
      </c>
      <c r="K94" s="271"/>
      <c r="L94" s="271"/>
      <c r="M94" s="271"/>
    </row>
    <row r="95" spans="2:15" ht="33" customHeight="1">
      <c r="B95" s="277"/>
      <c r="C95" s="277"/>
      <c r="D95" s="176" t="s">
        <v>75</v>
      </c>
      <c r="E95" s="176"/>
      <c r="F95" s="202"/>
      <c r="G95" s="202">
        <f t="shared" si="44"/>
        <v>791846497.46428573</v>
      </c>
      <c r="H95" s="202"/>
      <c r="I95" s="202">
        <f t="shared" si="45"/>
        <v>847020844.46428561</v>
      </c>
      <c r="J95" s="212">
        <f t="shared" si="46"/>
        <v>55174346.999999881</v>
      </c>
      <c r="K95" s="271"/>
      <c r="L95" s="271"/>
      <c r="M95" s="271"/>
    </row>
    <row r="96" spans="2:15" ht="33" customHeight="1">
      <c r="B96" s="277"/>
      <c r="C96" s="277"/>
      <c r="D96" s="176" t="s">
        <v>76</v>
      </c>
      <c r="E96" s="176"/>
      <c r="F96" s="202"/>
      <c r="G96" s="202">
        <f t="shared" si="44"/>
        <v>791846497.46428573</v>
      </c>
      <c r="H96" s="202"/>
      <c r="I96" s="202">
        <f t="shared" si="45"/>
        <v>818092844.46428561</v>
      </c>
      <c r="J96" s="210">
        <f t="shared" si="46"/>
        <v>26246346.999999881</v>
      </c>
      <c r="K96" s="271"/>
      <c r="L96" s="271"/>
      <c r="M96" s="271"/>
    </row>
    <row r="97" spans="2:13" ht="32.1" customHeight="1">
      <c r="B97" s="276"/>
      <c r="C97" s="276" t="s">
        <v>77</v>
      </c>
      <c r="D97" s="176" t="s">
        <v>61</v>
      </c>
      <c r="E97" s="131">
        <v>19</v>
      </c>
      <c r="F97" s="202">
        <f>G97/E97</f>
        <v>50316781.684210524</v>
      </c>
      <c r="G97" s="202">
        <f>'11 seats (Hiace)'!H15</f>
        <v>956018852</v>
      </c>
      <c r="H97" s="202">
        <f>I97/E97</f>
        <v>46883504.210526317</v>
      </c>
      <c r="I97" s="202">
        <f>'11 seats (Hiace)'!T30</f>
        <v>890786580</v>
      </c>
      <c r="J97" s="212">
        <f t="shared" si="46"/>
        <v>-65232272</v>
      </c>
      <c r="K97" s="270" t="s">
        <v>78</v>
      </c>
      <c r="L97" s="271"/>
      <c r="M97" s="271"/>
    </row>
    <row r="98" spans="2:13" ht="30" customHeight="1">
      <c r="B98" s="277"/>
      <c r="C98" s="277"/>
      <c r="D98" s="176" t="s">
        <v>63</v>
      </c>
      <c r="E98" s="131">
        <v>11</v>
      </c>
      <c r="F98" s="202">
        <f>G98/E98</f>
        <v>0</v>
      </c>
      <c r="G98" s="202"/>
      <c r="H98" s="202">
        <f>I98/E98</f>
        <v>50693398.18181818</v>
      </c>
      <c r="I98" s="243">
        <f>'11 seats (Hiace)'!AH59</f>
        <v>557627380</v>
      </c>
      <c r="J98" s="212">
        <f t="shared" si="46"/>
        <v>557627380</v>
      </c>
      <c r="K98" s="271"/>
      <c r="L98" s="271"/>
      <c r="M98" s="271"/>
    </row>
    <row r="99" spans="2:13" ht="33" customHeight="1">
      <c r="B99" s="277"/>
      <c r="C99" s="277"/>
      <c r="D99" s="162" t="s">
        <v>79</v>
      </c>
      <c r="E99" s="176">
        <v>8</v>
      </c>
      <c r="F99" s="218"/>
      <c r="G99" s="218"/>
      <c r="H99" s="202">
        <f>'11 seats (Hiace)'!R60</f>
        <v>55697000</v>
      </c>
      <c r="I99" s="202">
        <f t="shared" ref="I99:I102" si="47">H99*$E$99</f>
        <v>445576000</v>
      </c>
      <c r="J99" s="219"/>
      <c r="K99" s="271"/>
      <c r="L99" s="271"/>
      <c r="M99" s="271"/>
    </row>
    <row r="100" spans="2:13" ht="33" customHeight="1">
      <c r="B100" s="277"/>
      <c r="C100" s="277"/>
      <c r="D100" s="162" t="s">
        <v>80</v>
      </c>
      <c r="E100" s="176">
        <v>8</v>
      </c>
      <c r="F100" s="218"/>
      <c r="G100" s="218"/>
      <c r="H100" s="202">
        <f>'11 seats (Hiace)'!R74</f>
        <v>51602000</v>
      </c>
      <c r="I100" s="202">
        <f t="shared" si="47"/>
        <v>412816000</v>
      </c>
      <c r="J100" s="219"/>
      <c r="K100" s="271"/>
      <c r="L100" s="271"/>
      <c r="M100" s="271"/>
    </row>
    <row r="101" spans="2:13" ht="33" customHeight="1">
      <c r="B101" s="277"/>
      <c r="C101" s="277"/>
      <c r="D101" s="162" t="s">
        <v>81</v>
      </c>
      <c r="E101" s="176">
        <v>8</v>
      </c>
      <c r="F101" s="218"/>
      <c r="G101" s="218"/>
      <c r="H101" s="202">
        <f>'11 seats (Transit)'!R96</f>
        <v>48668000</v>
      </c>
      <c r="I101" s="202">
        <f t="shared" si="47"/>
        <v>389344000</v>
      </c>
      <c r="J101" s="219"/>
      <c r="K101" s="271"/>
      <c r="L101" s="271"/>
      <c r="M101" s="271"/>
    </row>
    <row r="102" spans="2:13" ht="33" customHeight="1">
      <c r="B102" s="277"/>
      <c r="C102" s="277"/>
      <c r="D102" s="162" t="s">
        <v>82</v>
      </c>
      <c r="E102" s="176">
        <v>8</v>
      </c>
      <c r="F102" s="218"/>
      <c r="G102" s="218"/>
      <c r="H102" s="202">
        <f>'11 seats (Transit)'!R126</f>
        <v>45531000</v>
      </c>
      <c r="I102" s="202">
        <f t="shared" si="47"/>
        <v>364248000</v>
      </c>
      <c r="J102" s="219"/>
      <c r="K102" s="271"/>
      <c r="L102" s="271"/>
      <c r="M102" s="271"/>
    </row>
    <row r="103" spans="2:13" ht="33" customHeight="1">
      <c r="B103" s="277"/>
      <c r="C103" s="277"/>
      <c r="D103" s="162" t="s">
        <v>83</v>
      </c>
      <c r="E103" s="176" t="s">
        <v>69</v>
      </c>
      <c r="F103" s="218"/>
      <c r="G103" s="218"/>
      <c r="H103" s="202">
        <f>I103/E99</f>
        <v>52182500</v>
      </c>
      <c r="I103" s="202">
        <f>H99*4+H101*4</f>
        <v>417460000</v>
      </c>
      <c r="J103" s="219"/>
      <c r="K103" s="271"/>
      <c r="L103" s="271"/>
      <c r="M103" s="271"/>
    </row>
    <row r="104" spans="2:13" ht="33" customHeight="1">
      <c r="B104" s="277"/>
      <c r="C104" s="277"/>
      <c r="D104" s="162" t="s">
        <v>85</v>
      </c>
      <c r="E104" s="176" t="s">
        <v>69</v>
      </c>
      <c r="F104" s="218"/>
      <c r="G104" s="218"/>
      <c r="H104" s="202">
        <f>I104/E99</f>
        <v>48566500</v>
      </c>
      <c r="I104" s="202">
        <f>H100*4+H102*4</f>
        <v>388532000</v>
      </c>
      <c r="J104" s="219"/>
      <c r="K104" s="271"/>
      <c r="L104" s="271"/>
      <c r="M104" s="271"/>
    </row>
    <row r="105" spans="2:13" ht="33" customHeight="1">
      <c r="B105" s="277"/>
      <c r="C105" s="277"/>
      <c r="D105" s="176" t="s">
        <v>71</v>
      </c>
      <c r="E105" s="176"/>
      <c r="F105" s="202"/>
      <c r="G105" s="202">
        <f t="shared" ref="G105:G110" si="48">$G$97</f>
        <v>956018852</v>
      </c>
      <c r="H105" s="202"/>
      <c r="I105" s="202">
        <f t="shared" ref="I105:I110" si="49">$I$98+I99</f>
        <v>1003203380</v>
      </c>
      <c r="J105" s="212">
        <f t="shared" ref="J105:J112" si="50">+I105-G105</f>
        <v>47184528</v>
      </c>
      <c r="K105" s="271"/>
      <c r="L105" s="271"/>
      <c r="M105" s="271"/>
    </row>
    <row r="106" spans="2:13" ht="33" customHeight="1">
      <c r="B106" s="277"/>
      <c r="C106" s="277"/>
      <c r="D106" s="176" t="s">
        <v>72</v>
      </c>
      <c r="E106" s="176"/>
      <c r="F106" s="202"/>
      <c r="G106" s="202">
        <f t="shared" si="48"/>
        <v>956018852</v>
      </c>
      <c r="H106" s="202"/>
      <c r="I106" s="202">
        <f t="shared" si="49"/>
        <v>970443380</v>
      </c>
      <c r="J106" s="212">
        <f t="shared" si="50"/>
        <v>14424528</v>
      </c>
      <c r="K106" s="271"/>
      <c r="L106" s="271"/>
      <c r="M106" s="271"/>
    </row>
    <row r="107" spans="2:13" ht="33" customHeight="1">
      <c r="B107" s="277"/>
      <c r="C107" s="277"/>
      <c r="D107" s="176" t="s">
        <v>73</v>
      </c>
      <c r="E107" s="176"/>
      <c r="F107" s="202"/>
      <c r="G107" s="202">
        <f t="shared" si="48"/>
        <v>956018852</v>
      </c>
      <c r="H107" s="202"/>
      <c r="I107" s="202">
        <f t="shared" si="49"/>
        <v>946971380</v>
      </c>
      <c r="J107" s="210">
        <f t="shared" si="50"/>
        <v>-9047472</v>
      </c>
      <c r="K107" s="271"/>
      <c r="L107" s="271"/>
      <c r="M107" s="271"/>
    </row>
    <row r="108" spans="2:13" ht="33" customHeight="1">
      <c r="B108" s="277"/>
      <c r="C108" s="277"/>
      <c r="D108" s="176" t="s">
        <v>74</v>
      </c>
      <c r="E108" s="176"/>
      <c r="F108" s="202"/>
      <c r="G108" s="202">
        <f t="shared" si="48"/>
        <v>956018852</v>
      </c>
      <c r="H108" s="202"/>
      <c r="I108" s="202">
        <f t="shared" si="49"/>
        <v>921875380</v>
      </c>
      <c r="J108" s="212">
        <f t="shared" si="50"/>
        <v>-34143472</v>
      </c>
      <c r="K108" s="271"/>
      <c r="L108" s="271"/>
      <c r="M108" s="271"/>
    </row>
    <row r="109" spans="2:13" ht="33" customHeight="1">
      <c r="B109" s="277"/>
      <c r="C109" s="277"/>
      <c r="D109" s="176" t="s">
        <v>75</v>
      </c>
      <c r="E109" s="176"/>
      <c r="F109" s="202"/>
      <c r="G109" s="202">
        <f t="shared" si="48"/>
        <v>956018852</v>
      </c>
      <c r="H109" s="202"/>
      <c r="I109" s="202">
        <f t="shared" si="49"/>
        <v>975087380</v>
      </c>
      <c r="J109" s="212">
        <f t="shared" si="50"/>
        <v>19068528</v>
      </c>
      <c r="K109" s="271"/>
      <c r="L109" s="271"/>
      <c r="M109" s="271"/>
    </row>
    <row r="110" spans="2:13" ht="33" customHeight="1">
      <c r="B110" s="277"/>
      <c r="C110" s="277"/>
      <c r="D110" s="176" t="s">
        <v>76</v>
      </c>
      <c r="E110" s="176"/>
      <c r="F110" s="202"/>
      <c r="G110" s="202">
        <f t="shared" si="48"/>
        <v>956018852</v>
      </c>
      <c r="H110" s="202"/>
      <c r="I110" s="202">
        <f t="shared" si="49"/>
        <v>946159380</v>
      </c>
      <c r="J110" s="210">
        <f t="shared" si="50"/>
        <v>-9859472</v>
      </c>
      <c r="K110" s="271"/>
      <c r="L110" s="271"/>
      <c r="M110" s="271"/>
    </row>
    <row r="111" spans="2:13" ht="32.1" customHeight="1">
      <c r="B111" s="276"/>
      <c r="C111" s="276" t="s">
        <v>86</v>
      </c>
      <c r="D111" s="176" t="s">
        <v>61</v>
      </c>
      <c r="E111" s="131">
        <v>6</v>
      </c>
      <c r="F111" s="202">
        <f>G111/E111</f>
        <v>46126944.666666664</v>
      </c>
      <c r="G111" s="202">
        <f>'11 seats (Hiace)'!K15</f>
        <v>276761668</v>
      </c>
      <c r="H111" s="202">
        <f>I111/E111</f>
        <v>45518034.444444448</v>
      </c>
      <c r="I111" s="202">
        <f>'11 seats (Hiace)'!W30</f>
        <v>273108206.66666669</v>
      </c>
      <c r="J111" s="212">
        <f t="shared" si="50"/>
        <v>-3653461.3333333135</v>
      </c>
      <c r="K111" s="270" t="s">
        <v>28</v>
      </c>
      <c r="L111" s="271"/>
      <c r="M111" s="271"/>
    </row>
    <row r="112" spans="2:13" ht="30" customHeight="1">
      <c r="B112" s="277"/>
      <c r="C112" s="277"/>
      <c r="D112" s="176" t="s">
        <v>63</v>
      </c>
      <c r="E112" s="131">
        <v>4</v>
      </c>
      <c r="F112" s="202">
        <f>G112/E112</f>
        <v>0</v>
      </c>
      <c r="G112" s="202"/>
      <c r="H112" s="202">
        <f>I112/E112</f>
        <v>47454601.666666657</v>
      </c>
      <c r="I112" s="243">
        <f>'11 seats (Hiace)'!AK59</f>
        <v>189818406.66666663</v>
      </c>
      <c r="J112" s="212">
        <f t="shared" si="50"/>
        <v>189818406.66666663</v>
      </c>
      <c r="K112" s="271"/>
      <c r="L112" s="271"/>
      <c r="M112" s="271"/>
    </row>
    <row r="113" spans="2:13" ht="33" customHeight="1">
      <c r="B113" s="277"/>
      <c r="C113" s="277"/>
      <c r="D113" s="162" t="s">
        <v>87</v>
      </c>
      <c r="E113" s="176">
        <v>2</v>
      </c>
      <c r="F113" s="218"/>
      <c r="G113" s="218"/>
      <c r="H113" s="202">
        <f>'11 seats (Hiace)'!U60</f>
        <v>55697000</v>
      </c>
      <c r="I113" s="202">
        <f t="shared" ref="I113:I116" si="51">H113*$E$113</f>
        <v>111394000</v>
      </c>
      <c r="J113" s="219"/>
      <c r="K113" s="271"/>
      <c r="L113" s="271"/>
      <c r="M113" s="271"/>
    </row>
    <row r="114" spans="2:13" ht="33" customHeight="1">
      <c r="B114" s="277"/>
      <c r="C114" s="277"/>
      <c r="D114" s="162" t="s">
        <v>88</v>
      </c>
      <c r="E114" s="176">
        <v>2</v>
      </c>
      <c r="F114" s="218"/>
      <c r="G114" s="218"/>
      <c r="H114" s="202">
        <f>'11 seats (Hiace)'!U74</f>
        <v>51602000</v>
      </c>
      <c r="I114" s="214">
        <f t="shared" si="51"/>
        <v>103204000</v>
      </c>
      <c r="J114" s="219"/>
      <c r="K114" s="271">
        <f>I114-I116</f>
        <v>12142000</v>
      </c>
      <c r="L114" s="271"/>
      <c r="M114" s="271"/>
    </row>
    <row r="115" spans="2:13" ht="33" customHeight="1">
      <c r="B115" s="277"/>
      <c r="C115" s="277"/>
      <c r="D115" s="162" t="s">
        <v>89</v>
      </c>
      <c r="E115" s="176">
        <v>2</v>
      </c>
      <c r="F115" s="218"/>
      <c r="G115" s="218"/>
      <c r="H115" s="202">
        <f>'11 seats (Transit)'!U96</f>
        <v>48668000</v>
      </c>
      <c r="I115" s="202">
        <f t="shared" si="51"/>
        <v>97336000</v>
      </c>
      <c r="J115" s="219"/>
      <c r="K115" s="271"/>
      <c r="L115" s="271"/>
      <c r="M115" s="271"/>
    </row>
    <row r="116" spans="2:13" ht="33" customHeight="1">
      <c r="B116" s="277"/>
      <c r="C116" s="277"/>
      <c r="D116" s="162" t="s">
        <v>90</v>
      </c>
      <c r="E116" s="176">
        <v>2</v>
      </c>
      <c r="F116" s="218"/>
      <c r="G116" s="218"/>
      <c r="H116" s="202">
        <f>'11 seats (Transit)'!U126</f>
        <v>45531000</v>
      </c>
      <c r="I116" s="214">
        <f t="shared" si="51"/>
        <v>91062000</v>
      </c>
      <c r="J116" s="219"/>
      <c r="K116" s="271"/>
      <c r="L116" s="271"/>
      <c r="M116" s="271"/>
    </row>
    <row r="117" spans="2:13" ht="33" customHeight="1">
      <c r="B117" s="277"/>
      <c r="C117" s="277"/>
      <c r="D117" s="162" t="s">
        <v>91</v>
      </c>
      <c r="E117" s="176" t="s">
        <v>193</v>
      </c>
      <c r="F117" s="218"/>
      <c r="G117" s="218"/>
      <c r="H117" s="202">
        <f>I117/E113</f>
        <v>52182500</v>
      </c>
      <c r="I117" s="202">
        <f>H113+H115</f>
        <v>104365000</v>
      </c>
      <c r="J117" s="219"/>
      <c r="K117" s="271"/>
      <c r="L117" s="271"/>
      <c r="M117" s="271"/>
    </row>
    <row r="118" spans="2:13" ht="33" customHeight="1">
      <c r="B118" s="277"/>
      <c r="C118" s="277"/>
      <c r="D118" s="162" t="s">
        <v>93</v>
      </c>
      <c r="E118" s="176" t="s">
        <v>193</v>
      </c>
      <c r="F118" s="218"/>
      <c r="G118" s="218"/>
      <c r="H118" s="202">
        <f>I118/4</f>
        <v>24283250</v>
      </c>
      <c r="I118" s="202">
        <f>H114+H116</f>
        <v>97133000</v>
      </c>
      <c r="J118" s="219"/>
      <c r="K118" s="271"/>
      <c r="L118" s="271"/>
      <c r="M118" s="271"/>
    </row>
    <row r="119" spans="2:13" ht="33" customHeight="1">
      <c r="B119" s="277"/>
      <c r="C119" s="277"/>
      <c r="D119" s="176" t="s">
        <v>71</v>
      </c>
      <c r="E119" s="176"/>
      <c r="F119" s="202"/>
      <c r="G119" s="202">
        <f t="shared" ref="G119:G124" si="52">$G$111</f>
        <v>276761668</v>
      </c>
      <c r="H119" s="202"/>
      <c r="I119" s="202">
        <f t="shared" ref="I119:I124" si="53">$I$112+I113</f>
        <v>301212406.66666663</v>
      </c>
      <c r="J119" s="212">
        <f t="shared" ref="J119:J127" si="54">+I119-G119</f>
        <v>24450738.666666627</v>
      </c>
      <c r="K119" s="271"/>
      <c r="L119" s="271"/>
      <c r="M119" s="271"/>
    </row>
    <row r="120" spans="2:13" ht="33" customHeight="1">
      <c r="B120" s="277"/>
      <c r="C120" s="277"/>
      <c r="D120" s="176" t="s">
        <v>72</v>
      </c>
      <c r="E120" s="176"/>
      <c r="F120" s="202"/>
      <c r="G120" s="202">
        <f t="shared" si="52"/>
        <v>276761668</v>
      </c>
      <c r="H120" s="202"/>
      <c r="I120" s="202">
        <f t="shared" si="53"/>
        <v>293022406.66666663</v>
      </c>
      <c r="J120" s="212">
        <f t="shared" si="54"/>
        <v>16260738.666666627</v>
      </c>
      <c r="K120" s="271"/>
      <c r="L120" s="271"/>
      <c r="M120" s="271"/>
    </row>
    <row r="121" spans="2:13" ht="33" customHeight="1">
      <c r="B121" s="277"/>
      <c r="C121" s="277"/>
      <c r="D121" s="176" t="s">
        <v>73</v>
      </c>
      <c r="E121" s="176"/>
      <c r="F121" s="202"/>
      <c r="G121" s="202">
        <f t="shared" si="52"/>
        <v>276761668</v>
      </c>
      <c r="H121" s="202"/>
      <c r="I121" s="202">
        <f t="shared" si="53"/>
        <v>287154406.66666663</v>
      </c>
      <c r="J121" s="210">
        <f t="shared" si="54"/>
        <v>10392738.666666627</v>
      </c>
      <c r="K121" s="271"/>
      <c r="L121" s="271"/>
      <c r="M121" s="271"/>
    </row>
    <row r="122" spans="2:13" ht="33" customHeight="1">
      <c r="B122" s="277"/>
      <c r="C122" s="277"/>
      <c r="D122" s="176" t="s">
        <v>74</v>
      </c>
      <c r="E122" s="176"/>
      <c r="F122" s="202"/>
      <c r="G122" s="202">
        <f t="shared" si="52"/>
        <v>276761668</v>
      </c>
      <c r="H122" s="202"/>
      <c r="I122" s="202">
        <f t="shared" si="53"/>
        <v>280880406.66666663</v>
      </c>
      <c r="J122" s="212">
        <f t="shared" si="54"/>
        <v>4118738.6666666269</v>
      </c>
      <c r="K122" s="271"/>
      <c r="L122" s="271"/>
      <c r="M122" s="271"/>
    </row>
    <row r="123" spans="2:13" ht="33" customHeight="1">
      <c r="B123" s="277"/>
      <c r="C123" s="277"/>
      <c r="D123" s="176" t="s">
        <v>75</v>
      </c>
      <c r="E123" s="176"/>
      <c r="F123" s="202"/>
      <c r="G123" s="202">
        <f t="shared" si="52"/>
        <v>276761668</v>
      </c>
      <c r="H123" s="202"/>
      <c r="I123" s="202">
        <f t="shared" si="53"/>
        <v>294183406.66666663</v>
      </c>
      <c r="J123" s="212">
        <f t="shared" si="54"/>
        <v>17421738.666666627</v>
      </c>
      <c r="K123" s="271"/>
      <c r="L123" s="271"/>
      <c r="M123" s="271"/>
    </row>
    <row r="124" spans="2:13" ht="33" customHeight="1">
      <c r="B124" s="277"/>
      <c r="C124" s="277"/>
      <c r="D124" s="176" t="s">
        <v>76</v>
      </c>
      <c r="E124" s="176"/>
      <c r="F124" s="202"/>
      <c r="G124" s="202">
        <f t="shared" si="52"/>
        <v>276761668</v>
      </c>
      <c r="H124" s="202"/>
      <c r="I124" s="202">
        <f t="shared" si="53"/>
        <v>286951406.66666663</v>
      </c>
      <c r="J124" s="210">
        <f t="shared" si="54"/>
        <v>10189738.666666627</v>
      </c>
      <c r="K124" s="271"/>
      <c r="L124" s="271"/>
      <c r="M124" s="271"/>
    </row>
    <row r="125" spans="2:13" ht="33" customHeight="1">
      <c r="B125" s="277"/>
      <c r="C125" s="276" t="s">
        <v>94</v>
      </c>
      <c r="D125" s="176" t="s">
        <v>10</v>
      </c>
      <c r="E125" s="131">
        <v>2</v>
      </c>
      <c r="F125" s="202">
        <f>G125/E125</f>
        <v>42076167</v>
      </c>
      <c r="G125" s="202">
        <f>+'11 seats (Hiace)'!E89</f>
        <v>84152334</v>
      </c>
      <c r="H125" s="202">
        <f>I125/E125</f>
        <v>40670200</v>
      </c>
      <c r="I125" s="202">
        <f>+'11 seats (Hiace)'!E118</f>
        <v>81340400</v>
      </c>
      <c r="J125" s="212">
        <f t="shared" si="54"/>
        <v>-2811934</v>
      </c>
      <c r="K125" s="271"/>
      <c r="L125" s="271"/>
      <c r="M125" s="271"/>
    </row>
    <row r="126" spans="2:13" ht="33" customHeight="1">
      <c r="B126" s="277"/>
      <c r="C126" s="277"/>
      <c r="D126" s="176" t="s">
        <v>15</v>
      </c>
      <c r="E126" s="131">
        <v>1</v>
      </c>
      <c r="F126" s="202">
        <f>'11 seats (Hiace)'!H89</f>
        <v>65468368</v>
      </c>
      <c r="G126" s="202">
        <f>+F126*E126</f>
        <v>65468368</v>
      </c>
      <c r="H126" s="202">
        <f>'11 seats (Hiace)'!H133</f>
        <v>50805600</v>
      </c>
      <c r="I126" s="202">
        <f>+H126*E126</f>
        <v>50805600</v>
      </c>
      <c r="J126" s="212">
        <f t="shared" si="54"/>
        <v>-14662768</v>
      </c>
      <c r="K126" s="271"/>
      <c r="L126" s="271"/>
      <c r="M126" s="271"/>
    </row>
    <row r="127" spans="2:13" ht="33" customHeight="1">
      <c r="B127" s="277"/>
      <c r="C127" s="278"/>
      <c r="D127" s="176" t="s">
        <v>17</v>
      </c>
      <c r="E127" s="131">
        <v>1</v>
      </c>
      <c r="F127" s="202">
        <f>'11 seats (Hiace)'!K89</f>
        <v>65021968</v>
      </c>
      <c r="G127" s="202">
        <f>+F127*E127</f>
        <v>65021968</v>
      </c>
      <c r="H127" s="202">
        <f>'11 seats (Hiace)'!K133</f>
        <v>47993000</v>
      </c>
      <c r="I127" s="202">
        <f>+H127*E127</f>
        <v>47993000</v>
      </c>
      <c r="J127" s="212">
        <f t="shared" si="54"/>
        <v>-17028968</v>
      </c>
      <c r="K127" s="271"/>
      <c r="L127" s="271"/>
      <c r="M127" s="271"/>
    </row>
    <row r="129" spans="2:13">
      <c r="B129" s="7"/>
      <c r="C129" s="7" t="s">
        <v>10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spans="2:13">
      <c r="B130" s="7"/>
      <c r="C130" s="7" t="s">
        <v>15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2:13">
      <c r="B131" s="7"/>
      <c r="C131" s="7" t="s">
        <v>17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3" spans="2:13" ht="23.1" customHeight="1">
      <c r="B133" s="312" t="s">
        <v>136</v>
      </c>
      <c r="C133" s="313"/>
      <c r="D133" s="201" t="s">
        <v>97</v>
      </c>
      <c r="E133" s="201" t="s">
        <v>98</v>
      </c>
      <c r="F133" s="201" t="s">
        <v>99</v>
      </c>
      <c r="G133" s="201" t="s">
        <v>100</v>
      </c>
      <c r="H133" s="201" t="s">
        <v>101</v>
      </c>
      <c r="I133" s="201" t="s">
        <v>102</v>
      </c>
      <c r="J133" s="201" t="s">
        <v>103</v>
      </c>
      <c r="K133" s="201" t="s">
        <v>117</v>
      </c>
    </row>
    <row r="134" spans="2:13" ht="57.95" customHeight="1">
      <c r="B134" s="313"/>
      <c r="C134" s="313"/>
      <c r="D134" s="229" t="s">
        <v>113</v>
      </c>
      <c r="E134" s="222" t="s">
        <v>130</v>
      </c>
      <c r="F134" s="222" t="s">
        <v>131</v>
      </c>
      <c r="G134" s="222" t="s">
        <v>132</v>
      </c>
      <c r="H134" s="223" t="s">
        <v>133</v>
      </c>
      <c r="I134" s="222" t="s">
        <v>114</v>
      </c>
      <c r="J134" s="221" t="s">
        <v>115</v>
      </c>
      <c r="K134" s="223" t="s">
        <v>194</v>
      </c>
    </row>
    <row r="135" spans="2:13" s="161" customFormat="1" ht="23.1" customHeight="1">
      <c r="B135" s="283" t="s">
        <v>10</v>
      </c>
      <c r="C135" s="224" t="s">
        <v>3</v>
      </c>
      <c r="D135" s="225">
        <f>$G$50+$G$51+$G$59+$G$83+$G$125</f>
        <v>1345458283.4642859</v>
      </c>
      <c r="E135" s="225">
        <f t="shared" ref="E135:K135" si="55">$D$135</f>
        <v>1345458283.4642859</v>
      </c>
      <c r="F135" s="225">
        <f t="shared" si="55"/>
        <v>1345458283.4642859</v>
      </c>
      <c r="G135" s="225">
        <f t="shared" si="55"/>
        <v>1345458283.4642859</v>
      </c>
      <c r="H135" s="225">
        <f t="shared" si="55"/>
        <v>1345458283.4642859</v>
      </c>
      <c r="I135" s="225">
        <f t="shared" si="55"/>
        <v>1345458283.4642859</v>
      </c>
      <c r="J135" s="225">
        <f t="shared" si="55"/>
        <v>1345458283.4642859</v>
      </c>
      <c r="K135" s="231">
        <f t="shared" si="55"/>
        <v>1345458283.4642859</v>
      </c>
    </row>
    <row r="136" spans="2:13" s="161" customFormat="1" ht="23.1" customHeight="1">
      <c r="B136" s="283"/>
      <c r="C136" s="226" t="s">
        <v>42</v>
      </c>
      <c r="D136" s="225">
        <f>$I$50+$I$51+$I$59+$I$83+$I$125</f>
        <v>1354599842.4642859</v>
      </c>
      <c r="E136" s="225">
        <f t="shared" ref="E136:J136" si="56">$D$136</f>
        <v>1354599842.4642859</v>
      </c>
      <c r="F136" s="225">
        <f t="shared" si="56"/>
        <v>1354599842.4642859</v>
      </c>
      <c r="G136" s="225">
        <f t="shared" si="56"/>
        <v>1354599842.4642859</v>
      </c>
      <c r="H136" s="225">
        <f t="shared" si="56"/>
        <v>1354599842.4642859</v>
      </c>
      <c r="I136" s="225">
        <f t="shared" si="56"/>
        <v>1354599842.4642859</v>
      </c>
      <c r="J136" s="225">
        <f t="shared" si="56"/>
        <v>1354599842.4642859</v>
      </c>
      <c r="K136" s="225">
        <f>$I$50+$I$51+I65+$I$83+$I$125</f>
        <v>1410559164.4642859</v>
      </c>
    </row>
    <row r="137" spans="2:13" s="161" customFormat="1" ht="23.1" customHeight="1">
      <c r="B137" s="283"/>
      <c r="C137" s="227" t="s">
        <v>43</v>
      </c>
      <c r="D137" s="228">
        <f t="shared" ref="D137:K137" si="57">D136-D135</f>
        <v>9141559</v>
      </c>
      <c r="E137" s="228">
        <f t="shared" si="57"/>
        <v>9141559</v>
      </c>
      <c r="F137" s="228">
        <f t="shared" si="57"/>
        <v>9141559</v>
      </c>
      <c r="G137" s="228">
        <f t="shared" si="57"/>
        <v>9141559</v>
      </c>
      <c r="H137" s="228">
        <f t="shared" si="57"/>
        <v>9141559</v>
      </c>
      <c r="I137" s="228">
        <f t="shared" si="57"/>
        <v>9141559</v>
      </c>
      <c r="J137" s="228">
        <f t="shared" si="57"/>
        <v>9141559</v>
      </c>
      <c r="K137" s="232">
        <f t="shared" si="57"/>
        <v>65100881</v>
      </c>
    </row>
    <row r="138" spans="2:13" s="205" customFormat="1" ht="35.1" customHeight="1">
      <c r="B138" s="284"/>
      <c r="C138" s="132" t="s">
        <v>8</v>
      </c>
      <c r="D138" s="131" t="s">
        <v>137</v>
      </c>
      <c r="E138" s="306" t="s">
        <v>138</v>
      </c>
      <c r="F138" s="307"/>
      <c r="G138" s="306" t="s">
        <v>139</v>
      </c>
      <c r="H138" s="307"/>
      <c r="I138" s="308" t="s">
        <v>140</v>
      </c>
      <c r="J138" s="309"/>
      <c r="K138" s="233" t="s">
        <v>141</v>
      </c>
    </row>
    <row r="139" spans="2:13" s="161" customFormat="1" ht="23.1" customHeight="1">
      <c r="B139" s="282" t="s">
        <v>15</v>
      </c>
      <c r="C139" s="226" t="s">
        <v>3</v>
      </c>
      <c r="D139" s="225">
        <f>$G$56+$G$60+$G$63+$G$97+$G$126</f>
        <v>1335895977</v>
      </c>
      <c r="E139" s="225">
        <f t="shared" ref="E139:K139" si="58">$D$139</f>
        <v>1335895977</v>
      </c>
      <c r="F139" s="225">
        <f t="shared" si="58"/>
        <v>1335895977</v>
      </c>
      <c r="G139" s="225">
        <f t="shared" si="58"/>
        <v>1335895977</v>
      </c>
      <c r="H139" s="225">
        <f t="shared" si="58"/>
        <v>1335895977</v>
      </c>
      <c r="I139" s="225">
        <f t="shared" si="58"/>
        <v>1335895977</v>
      </c>
      <c r="J139" s="225">
        <f t="shared" si="58"/>
        <v>1335895977</v>
      </c>
      <c r="K139" s="231">
        <f t="shared" si="58"/>
        <v>1335895977</v>
      </c>
    </row>
    <row r="140" spans="2:13" s="161" customFormat="1" ht="23.1" customHeight="1">
      <c r="B140" s="283"/>
      <c r="C140" s="226" t="s">
        <v>42</v>
      </c>
      <c r="D140" s="225">
        <f>$I$52+$I$60+$I$63+I97+$I$126</f>
        <v>1272644723.7777777</v>
      </c>
      <c r="E140" s="225">
        <f>$I$52+$I$60+$I$63+I105+$I$126</f>
        <v>1385061523.7777777</v>
      </c>
      <c r="F140" s="225">
        <f>$I$52+$I$60+$I$63+I106+$I$126</f>
        <v>1352301523.7777777</v>
      </c>
      <c r="G140" s="225">
        <f>$I$52+$I$60+$I$63+I107+$I$126</f>
        <v>1328829523.7777777</v>
      </c>
      <c r="H140" s="225">
        <f>$I$52+$I$60+$I$63+I108+$I$126</f>
        <v>1303733523.7777777</v>
      </c>
      <c r="I140" s="225">
        <f>$I$52+$I$60+$I$63+I109+$I$126</f>
        <v>1356945523.7777777</v>
      </c>
      <c r="J140" s="225">
        <f>$I$52+$I$60+$I$63+I110+$I$126</f>
        <v>1328017523.7777777</v>
      </c>
      <c r="K140" s="225">
        <f>$I$52+I66+I69+$I$126+I97</f>
        <v>1310839740</v>
      </c>
    </row>
    <row r="141" spans="2:13" s="161" customFormat="1" ht="23.1" customHeight="1">
      <c r="B141" s="283"/>
      <c r="C141" s="227" t="s">
        <v>43</v>
      </c>
      <c r="D141" s="228">
        <f t="shared" ref="D141:K141" si="59">D140-D139</f>
        <v>-63251253.222222328</v>
      </c>
      <c r="E141" s="228">
        <f t="shared" si="59"/>
        <v>49165546.777777672</v>
      </c>
      <c r="F141" s="228">
        <f t="shared" si="59"/>
        <v>16405546.777777672</v>
      </c>
      <c r="G141" s="228">
        <f t="shared" si="59"/>
        <v>-7066453.2222223282</v>
      </c>
      <c r="H141" s="228">
        <f t="shared" si="59"/>
        <v>-32162453.222222328</v>
      </c>
      <c r="I141" s="228">
        <f t="shared" si="59"/>
        <v>21049546.777777672</v>
      </c>
      <c r="J141" s="228">
        <f t="shared" si="59"/>
        <v>-7878453.2222223282</v>
      </c>
      <c r="K141" s="232">
        <f t="shared" si="59"/>
        <v>-25056237</v>
      </c>
    </row>
    <row r="142" spans="2:13" s="161" customFormat="1" ht="39" customHeight="1">
      <c r="B142" s="284"/>
      <c r="C142" s="226" t="s">
        <v>8</v>
      </c>
      <c r="D142" s="131" t="s">
        <v>113</v>
      </c>
      <c r="E142" s="306" t="s">
        <v>142</v>
      </c>
      <c r="F142" s="307"/>
      <c r="G142" s="306" t="s">
        <v>143</v>
      </c>
      <c r="H142" s="307"/>
      <c r="I142" s="310" t="s">
        <v>144</v>
      </c>
      <c r="J142" s="311"/>
      <c r="K142" s="190" t="s">
        <v>145</v>
      </c>
    </row>
    <row r="143" spans="2:13" s="161" customFormat="1" ht="23.1" customHeight="1">
      <c r="B143" s="282" t="s">
        <v>17</v>
      </c>
      <c r="C143" s="226" t="s">
        <v>3</v>
      </c>
      <c r="D143" s="225">
        <f>$G$53+$G$61+$G$62+$G$111+$G$127</f>
        <v>651761479</v>
      </c>
      <c r="E143" s="225">
        <f t="shared" ref="E143:K143" si="60">$D$143</f>
        <v>651761479</v>
      </c>
      <c r="F143" s="225">
        <f t="shared" si="60"/>
        <v>651761479</v>
      </c>
      <c r="G143" s="225">
        <f t="shared" si="60"/>
        <v>651761479</v>
      </c>
      <c r="H143" s="225">
        <f t="shared" si="60"/>
        <v>651761479</v>
      </c>
      <c r="I143" s="225">
        <f t="shared" si="60"/>
        <v>651761479</v>
      </c>
      <c r="J143" s="225">
        <f t="shared" si="60"/>
        <v>651761479</v>
      </c>
      <c r="K143" s="231">
        <f t="shared" si="60"/>
        <v>651761479</v>
      </c>
    </row>
    <row r="144" spans="2:13" s="161" customFormat="1" ht="23.1" customHeight="1">
      <c r="B144" s="283"/>
      <c r="C144" s="226" t="s">
        <v>42</v>
      </c>
      <c r="D144" s="225">
        <f>$I$53+$I$61+$I$62+I111+$I$127</f>
        <v>641669910.66666675</v>
      </c>
      <c r="E144" s="225">
        <f>$I$53+$I$61+$I$62+I119+$I$127</f>
        <v>669774110.66666663</v>
      </c>
      <c r="F144" s="225">
        <f>$I$53+$I$61+$I$62+I120+$I$127</f>
        <v>661584110.66666663</v>
      </c>
      <c r="G144" s="225">
        <f>$I$53+$I$61+$I$62+I121+$I$127</f>
        <v>655716110.66666663</v>
      </c>
      <c r="H144" s="225">
        <f>$I$53+$I$61+$I$62+I122+$I$127</f>
        <v>649442110.66666663</v>
      </c>
      <c r="I144" s="225">
        <f>$I$53+$I$61+$I$62+I123+$I$127</f>
        <v>662745110.66666663</v>
      </c>
      <c r="J144" s="225">
        <f>$I$53+$I$61+$I$62+I124+$I$127</f>
        <v>655513110.66666663</v>
      </c>
      <c r="K144" s="225">
        <f>$I$53+I67+I68+I111+$I$127</f>
        <v>676912380</v>
      </c>
    </row>
    <row r="145" spans="2:12" s="161" customFormat="1" ht="23.1" customHeight="1">
      <c r="B145" s="283"/>
      <c r="C145" s="227" t="s">
        <v>43</v>
      </c>
      <c r="D145" s="228">
        <f t="shared" ref="D145:K145" si="61">D144-D143</f>
        <v>-10091568.333333254</v>
      </c>
      <c r="E145" s="228">
        <f t="shared" si="61"/>
        <v>18012631.666666627</v>
      </c>
      <c r="F145" s="228">
        <f t="shared" si="61"/>
        <v>9822631.6666666269</v>
      </c>
      <c r="G145" s="228">
        <f t="shared" si="61"/>
        <v>3954631.6666666269</v>
      </c>
      <c r="H145" s="228">
        <f t="shared" si="61"/>
        <v>-2319368.3333333731</v>
      </c>
      <c r="I145" s="228">
        <f t="shared" si="61"/>
        <v>10983631.666666627</v>
      </c>
      <c r="J145" s="228">
        <f t="shared" si="61"/>
        <v>3751631.6666666269</v>
      </c>
      <c r="K145" s="232">
        <f t="shared" si="61"/>
        <v>25150901</v>
      </c>
    </row>
    <row r="146" spans="2:12" s="161" customFormat="1" ht="38.1" customHeight="1">
      <c r="B146" s="284"/>
      <c r="C146" s="226" t="s">
        <v>8</v>
      </c>
      <c r="D146" s="131" t="s">
        <v>113</v>
      </c>
      <c r="E146" s="310" t="s">
        <v>146</v>
      </c>
      <c r="F146" s="311"/>
      <c r="G146" s="310" t="s">
        <v>147</v>
      </c>
      <c r="H146" s="311"/>
      <c r="I146" s="310" t="s">
        <v>148</v>
      </c>
      <c r="J146" s="311"/>
      <c r="K146" s="190" t="s">
        <v>149</v>
      </c>
    </row>
    <row r="147" spans="2:12" s="161" customFormat="1" ht="23.1" customHeight="1">
      <c r="B147" s="282" t="s">
        <v>111</v>
      </c>
      <c r="C147" s="226" t="s">
        <v>3</v>
      </c>
      <c r="D147" s="225">
        <f>$D$135+$D$139+$D$143</f>
        <v>3333115739.4642859</v>
      </c>
      <c r="E147" s="225">
        <f t="shared" ref="E147:K148" si="62">E135+E139+E143</f>
        <v>3333115739.4642859</v>
      </c>
      <c r="F147" s="225">
        <f t="shared" si="62"/>
        <v>3333115739.4642859</v>
      </c>
      <c r="G147" s="225">
        <f t="shared" si="62"/>
        <v>3333115739.4642859</v>
      </c>
      <c r="H147" s="225">
        <f t="shared" si="62"/>
        <v>3333115739.4642859</v>
      </c>
      <c r="I147" s="225">
        <f t="shared" si="62"/>
        <v>3333115739.4642859</v>
      </c>
      <c r="J147" s="225">
        <f t="shared" si="62"/>
        <v>3333115739.4642859</v>
      </c>
      <c r="K147" s="231">
        <f t="shared" si="62"/>
        <v>3333115739.4642859</v>
      </c>
    </row>
    <row r="148" spans="2:12" s="161" customFormat="1" ht="23.1" customHeight="1">
      <c r="B148" s="283"/>
      <c r="C148" s="226" t="s">
        <v>42</v>
      </c>
      <c r="D148" s="225">
        <f>$D$136+$D$140+$D$144</f>
        <v>3268914476.9087305</v>
      </c>
      <c r="E148" s="225">
        <f t="shared" si="62"/>
        <v>3409435476.90873</v>
      </c>
      <c r="F148" s="225">
        <f t="shared" si="62"/>
        <v>3368485476.90873</v>
      </c>
      <c r="G148" s="225">
        <f t="shared" si="62"/>
        <v>3339145476.90873</v>
      </c>
      <c r="H148" s="225">
        <f t="shared" si="62"/>
        <v>3307775476.90873</v>
      </c>
      <c r="I148" s="225">
        <f t="shared" si="62"/>
        <v>3374290476.90873</v>
      </c>
      <c r="J148" s="225">
        <f t="shared" si="62"/>
        <v>3338130476.90873</v>
      </c>
      <c r="K148" s="231">
        <f t="shared" si="62"/>
        <v>3398311284.4642859</v>
      </c>
    </row>
    <row r="149" spans="2:12" s="161" customFormat="1" ht="23.1" customHeight="1">
      <c r="B149" s="283"/>
      <c r="C149" s="227" t="s">
        <v>43</v>
      </c>
      <c r="D149" s="228">
        <f t="shared" ref="D149:K149" si="63">D148-D147</f>
        <v>-64201262.555555344</v>
      </c>
      <c r="E149" s="228">
        <f t="shared" si="63"/>
        <v>76319737.44444418</v>
      </c>
      <c r="F149" s="228">
        <f t="shared" si="63"/>
        <v>35369737.44444418</v>
      </c>
      <c r="G149" s="228">
        <f t="shared" si="63"/>
        <v>6029737.4444441795</v>
      </c>
      <c r="H149" s="228">
        <f t="shared" si="63"/>
        <v>-25340262.55555582</v>
      </c>
      <c r="I149" s="228">
        <f t="shared" si="63"/>
        <v>41174737.44444418</v>
      </c>
      <c r="J149" s="228">
        <f t="shared" si="63"/>
        <v>5014737.4444441795</v>
      </c>
      <c r="K149" s="232">
        <f t="shared" si="63"/>
        <v>65195545</v>
      </c>
    </row>
    <row r="150" spans="2:12" s="161" customFormat="1" ht="23.1" customHeight="1">
      <c r="B150" s="284"/>
      <c r="C150" s="226" t="s">
        <v>8</v>
      </c>
      <c r="D150" s="131"/>
      <c r="E150" s="226"/>
      <c r="F150" s="226"/>
      <c r="G150" s="226"/>
      <c r="H150" s="226"/>
      <c r="I150" s="226"/>
      <c r="J150" s="226"/>
      <c r="K150" s="234"/>
    </row>
    <row r="151" spans="2:12">
      <c r="K151" s="195"/>
    </row>
    <row r="152" spans="2:12">
      <c r="D152" s="21">
        <f t="shared" ref="D152:K152" si="64">D149/23000</f>
        <v>-2791.3592415458843</v>
      </c>
      <c r="E152" s="21">
        <f t="shared" si="64"/>
        <v>3318.2494541062688</v>
      </c>
      <c r="F152" s="21">
        <f t="shared" si="64"/>
        <v>1537.814671497573</v>
      </c>
      <c r="G152" s="21">
        <f t="shared" si="64"/>
        <v>262.16249758452955</v>
      </c>
      <c r="H152" s="21">
        <f t="shared" si="64"/>
        <v>-1101.7505458937312</v>
      </c>
      <c r="I152" s="21">
        <f t="shared" si="64"/>
        <v>1790.2059758453991</v>
      </c>
      <c r="J152" s="21">
        <f t="shared" si="64"/>
        <v>218.03206280192086</v>
      </c>
      <c r="K152" s="235">
        <f t="shared" si="64"/>
        <v>2834.5889130434784</v>
      </c>
      <c r="L152" s="235"/>
    </row>
    <row r="153" spans="2:12">
      <c r="D153" s="21"/>
      <c r="K153" s="195"/>
    </row>
    <row r="154" spans="2:12">
      <c r="K154" s="195"/>
    </row>
    <row r="155" spans="2:12" ht="23.1" customHeight="1">
      <c r="B155" s="314" t="s">
        <v>150</v>
      </c>
      <c r="C155" s="314"/>
      <c r="D155" s="201" t="s">
        <v>97</v>
      </c>
      <c r="E155" s="201" t="s">
        <v>98</v>
      </c>
      <c r="F155" s="201" t="s">
        <v>99</v>
      </c>
      <c r="G155" s="201" t="s">
        <v>100</v>
      </c>
      <c r="H155" s="201" t="s">
        <v>101</v>
      </c>
      <c r="I155" s="201" t="s">
        <v>102</v>
      </c>
      <c r="J155" s="201" t="s">
        <v>103</v>
      </c>
      <c r="K155" s="201" t="s">
        <v>117</v>
      </c>
    </row>
    <row r="156" spans="2:12" ht="65.25" customHeight="1">
      <c r="B156" s="314"/>
      <c r="C156" s="314"/>
      <c r="D156" s="229" t="s">
        <v>113</v>
      </c>
      <c r="E156" s="222" t="s">
        <v>130</v>
      </c>
      <c r="F156" s="222" t="s">
        <v>131</v>
      </c>
      <c r="G156" s="222" t="s">
        <v>132</v>
      </c>
      <c r="H156" s="223" t="s">
        <v>133</v>
      </c>
      <c r="I156" s="222" t="s">
        <v>114</v>
      </c>
      <c r="J156" s="223" t="s">
        <v>115</v>
      </c>
      <c r="K156" s="222" t="s">
        <v>116</v>
      </c>
    </row>
    <row r="157" spans="2:12" s="161" customFormat="1" ht="23.1" customHeight="1">
      <c r="B157" s="282" t="s">
        <v>10</v>
      </c>
      <c r="C157" s="226" t="s">
        <v>3</v>
      </c>
      <c r="D157" s="225">
        <f>$G$50+$G$51+$G$59+$G$83+$G$125</f>
        <v>1345458283.4642859</v>
      </c>
      <c r="E157" s="225">
        <f t="shared" ref="E157:K157" si="65">$D$135</f>
        <v>1345458283.4642859</v>
      </c>
      <c r="F157" s="225">
        <f t="shared" si="65"/>
        <v>1345458283.4642859</v>
      </c>
      <c r="G157" s="225">
        <f t="shared" si="65"/>
        <v>1345458283.4642859</v>
      </c>
      <c r="H157" s="225">
        <f t="shared" si="65"/>
        <v>1345458283.4642859</v>
      </c>
      <c r="I157" s="225">
        <f t="shared" si="65"/>
        <v>1345458283.4642859</v>
      </c>
      <c r="J157" s="225">
        <f t="shared" si="65"/>
        <v>1345458283.4642859</v>
      </c>
      <c r="K157" s="231">
        <f t="shared" si="65"/>
        <v>1345458283.4642859</v>
      </c>
    </row>
    <row r="158" spans="2:12" s="161" customFormat="1" ht="23.1" customHeight="1">
      <c r="B158" s="283"/>
      <c r="C158" s="226" t="s">
        <v>42</v>
      </c>
      <c r="D158" s="225">
        <f>$I$50+$I$51+I77+$I$83+$I$125</f>
        <v>1340870078.4642859</v>
      </c>
      <c r="E158" s="225">
        <f t="shared" ref="E158:J158" si="66">$D$158</f>
        <v>1340870078.4642859</v>
      </c>
      <c r="F158" s="225">
        <f t="shared" si="66"/>
        <v>1340870078.4642859</v>
      </c>
      <c r="G158" s="225">
        <f t="shared" si="66"/>
        <v>1340870078.4642859</v>
      </c>
      <c r="H158" s="225">
        <f t="shared" si="66"/>
        <v>1340870078.4642859</v>
      </c>
      <c r="I158" s="225">
        <f t="shared" si="66"/>
        <v>1340870078.4642859</v>
      </c>
      <c r="J158" s="225">
        <f t="shared" si="66"/>
        <v>1340870078.4642859</v>
      </c>
      <c r="K158" s="231">
        <f>D158</f>
        <v>1340870078.4642859</v>
      </c>
    </row>
    <row r="159" spans="2:12" s="161" customFormat="1" ht="23.1" customHeight="1">
      <c r="B159" s="283"/>
      <c r="C159" s="226" t="s">
        <v>43</v>
      </c>
      <c r="D159" s="225">
        <f t="shared" ref="D159:K159" si="67">D158-D157</f>
        <v>-4588205</v>
      </c>
      <c r="E159" s="225">
        <f t="shared" si="67"/>
        <v>-4588205</v>
      </c>
      <c r="F159" s="225">
        <f t="shared" si="67"/>
        <v>-4588205</v>
      </c>
      <c r="G159" s="225">
        <f t="shared" si="67"/>
        <v>-4588205</v>
      </c>
      <c r="H159" s="225">
        <f t="shared" si="67"/>
        <v>-4588205</v>
      </c>
      <c r="I159" s="225">
        <f t="shared" si="67"/>
        <v>-4588205</v>
      </c>
      <c r="J159" s="225">
        <f t="shared" si="67"/>
        <v>-4588205</v>
      </c>
      <c r="K159" s="231">
        <f t="shared" si="67"/>
        <v>-4588205</v>
      </c>
    </row>
    <row r="160" spans="2:12" s="161" customFormat="1" ht="23.1" customHeight="1">
      <c r="B160" s="284"/>
      <c r="C160" s="226" t="s">
        <v>8</v>
      </c>
      <c r="D160" s="226"/>
      <c r="E160" s="226"/>
      <c r="F160" s="226"/>
      <c r="G160" s="226"/>
      <c r="H160" s="226"/>
      <c r="I160" s="226"/>
      <c r="J160" s="226"/>
      <c r="K160" s="234"/>
    </row>
    <row r="161" spans="2:11" s="161" customFormat="1" ht="23.1" customHeight="1">
      <c r="B161" s="282" t="s">
        <v>15</v>
      </c>
      <c r="C161" s="226" t="s">
        <v>3</v>
      </c>
      <c r="D161" s="225">
        <f>$G$56+$G$60+$G$63+$G$97+$G$126</f>
        <v>1335895977</v>
      </c>
      <c r="E161" s="225">
        <f t="shared" ref="E161:K161" si="68">$D$139</f>
        <v>1335895977</v>
      </c>
      <c r="F161" s="225">
        <f t="shared" si="68"/>
        <v>1335895977</v>
      </c>
      <c r="G161" s="225">
        <f t="shared" si="68"/>
        <v>1335895977</v>
      </c>
      <c r="H161" s="225">
        <f t="shared" si="68"/>
        <v>1335895977</v>
      </c>
      <c r="I161" s="225">
        <f t="shared" si="68"/>
        <v>1335895977</v>
      </c>
      <c r="J161" s="225">
        <f t="shared" si="68"/>
        <v>1335895977</v>
      </c>
      <c r="K161" s="231">
        <f t="shared" si="68"/>
        <v>1335895977</v>
      </c>
    </row>
    <row r="162" spans="2:11" s="161" customFormat="1" ht="23.1" customHeight="1">
      <c r="B162" s="283"/>
      <c r="C162" s="226" t="s">
        <v>42</v>
      </c>
      <c r="D162" s="225">
        <f>$I$52+$I$78+$I$81+I97+$I$126</f>
        <v>1262568531.9682541</v>
      </c>
      <c r="E162" s="225">
        <f>$I$52+$I$78+$I$81+I105+$I$126</f>
        <v>1374985331.9682541</v>
      </c>
      <c r="F162" s="225">
        <f>$I$52+$I$78+$I$81+I106+$I$126</f>
        <v>1342225331.9682541</v>
      </c>
      <c r="G162" s="225">
        <f>$I$52+$I$78+$I$81+I107+$I$126</f>
        <v>1318753331.9682541</v>
      </c>
      <c r="H162" s="225">
        <f>$I$52+$I$78+$I$81+I108+$I$126</f>
        <v>1293657331.9682541</v>
      </c>
      <c r="I162" s="225">
        <f>$I$52+$I$78+$I$81+I109+$I$126</f>
        <v>1346869331.9682541</v>
      </c>
      <c r="J162" s="225">
        <f>$I$52+$I$78+$I$81+I110+$I$126</f>
        <v>1317941331.9682541</v>
      </c>
      <c r="K162" s="231">
        <v>1304937211.96825</v>
      </c>
    </row>
    <row r="163" spans="2:11" s="161" customFormat="1" ht="23.1" customHeight="1">
      <c r="B163" s="283"/>
      <c r="C163" s="226" t="s">
        <v>43</v>
      </c>
      <c r="D163" s="225">
        <f t="shared" ref="D163:K163" si="69">D162-D161</f>
        <v>-73327445.031745911</v>
      </c>
      <c r="E163" s="225">
        <f t="shared" si="69"/>
        <v>39089354.968254089</v>
      </c>
      <c r="F163" s="225">
        <f t="shared" si="69"/>
        <v>6329354.9682540894</v>
      </c>
      <c r="G163" s="225">
        <f t="shared" si="69"/>
        <v>-17142645.031745911</v>
      </c>
      <c r="H163" s="225">
        <f t="shared" si="69"/>
        <v>-42238645.031745911</v>
      </c>
      <c r="I163" s="225">
        <f t="shared" si="69"/>
        <v>10973354.968254089</v>
      </c>
      <c r="J163" s="225">
        <f t="shared" si="69"/>
        <v>-17954645.031745911</v>
      </c>
      <c r="K163" s="231">
        <f t="shared" si="69"/>
        <v>-30958765.031749964</v>
      </c>
    </row>
    <row r="164" spans="2:11" s="161" customFormat="1" ht="23.1" customHeight="1">
      <c r="B164" s="284"/>
      <c r="C164" s="226" t="s">
        <v>8</v>
      </c>
      <c r="D164" s="226"/>
      <c r="E164" s="226"/>
      <c r="F164" s="226"/>
      <c r="G164" s="226"/>
      <c r="H164" s="226"/>
      <c r="I164" s="226"/>
      <c r="J164" s="226"/>
      <c r="K164" s="234"/>
    </row>
    <row r="165" spans="2:11" s="161" customFormat="1" ht="23.1" customHeight="1">
      <c r="B165" s="282" t="s">
        <v>17</v>
      </c>
      <c r="C165" s="226" t="s">
        <v>3</v>
      </c>
      <c r="D165" s="225">
        <f>$G$53+$G$61+$G$62+$G$111+$G$127</f>
        <v>651761479</v>
      </c>
      <c r="E165" s="225">
        <f t="shared" ref="E165:K165" si="70">$D$143</f>
        <v>651761479</v>
      </c>
      <c r="F165" s="225">
        <f t="shared" si="70"/>
        <v>651761479</v>
      </c>
      <c r="G165" s="225">
        <f t="shared" si="70"/>
        <v>651761479</v>
      </c>
      <c r="H165" s="225">
        <f t="shared" si="70"/>
        <v>651761479</v>
      </c>
      <c r="I165" s="225">
        <f t="shared" si="70"/>
        <v>651761479</v>
      </c>
      <c r="J165" s="225">
        <f t="shared" si="70"/>
        <v>651761479</v>
      </c>
      <c r="K165" s="231">
        <f t="shared" si="70"/>
        <v>651761479</v>
      </c>
    </row>
    <row r="166" spans="2:11" s="161" customFormat="1" ht="23.1" customHeight="1">
      <c r="B166" s="283"/>
      <c r="C166" s="226" t="s">
        <v>42</v>
      </c>
      <c r="D166" s="225">
        <f>$I$53+$I$79+$I$80+I111+$I$127</f>
        <v>631668718.66666675</v>
      </c>
      <c r="E166" s="225">
        <f>$I$53+$I$79+$I$80+I119+$I$127</f>
        <v>659772918.66666663</v>
      </c>
      <c r="F166" s="225">
        <f>$I$53+$I$79+$I$80+I120+$I$127</f>
        <v>651582918.66666663</v>
      </c>
      <c r="G166" s="225">
        <f>$I$53+$I$79+$I$80+I121+$I$127</f>
        <v>645714918.66666663</v>
      </c>
      <c r="H166" s="225">
        <f>$I$53+$I$79+$I$80+I122+$I$127</f>
        <v>639440918.66666663</v>
      </c>
      <c r="I166" s="225">
        <f>$I$53+$I$79+$I$80+I123+$I$127</f>
        <v>652743918.66666663</v>
      </c>
      <c r="J166" s="225">
        <f>$I$53+$I$79+$I$80+I124+$I$127</f>
        <v>645511918.66666663</v>
      </c>
      <c r="K166" s="231">
        <v>659677598.66666698</v>
      </c>
    </row>
    <row r="167" spans="2:11" s="161" customFormat="1" ht="23.1" customHeight="1">
      <c r="B167" s="283"/>
      <c r="C167" s="226" t="s">
        <v>43</v>
      </c>
      <c r="D167" s="225">
        <f t="shared" ref="D167:K167" si="71">D166-D165</f>
        <v>-20092760.333333254</v>
      </c>
      <c r="E167" s="225">
        <f t="shared" si="71"/>
        <v>8011439.6666666269</v>
      </c>
      <c r="F167" s="225">
        <f t="shared" si="71"/>
        <v>-178560.33333337307</v>
      </c>
      <c r="G167" s="225">
        <f t="shared" si="71"/>
        <v>-6046560.3333333731</v>
      </c>
      <c r="H167" s="225">
        <f t="shared" si="71"/>
        <v>-12320560.333333373</v>
      </c>
      <c r="I167" s="225">
        <f t="shared" si="71"/>
        <v>982439.66666662693</v>
      </c>
      <c r="J167" s="225">
        <f t="shared" si="71"/>
        <v>-6249560.3333333731</v>
      </c>
      <c r="K167" s="231">
        <f t="shared" si="71"/>
        <v>7916119.6666669846</v>
      </c>
    </row>
    <row r="168" spans="2:11" s="161" customFormat="1" ht="23.1" customHeight="1">
      <c r="B168" s="284"/>
      <c r="C168" s="226" t="s">
        <v>8</v>
      </c>
      <c r="D168" s="226"/>
      <c r="E168" s="226"/>
      <c r="F168" s="226"/>
      <c r="G168" s="226"/>
      <c r="H168" s="226"/>
      <c r="I168" s="226"/>
      <c r="J168" s="226"/>
      <c r="K168" s="234"/>
    </row>
    <row r="169" spans="2:11" s="161" customFormat="1" ht="23.1" customHeight="1">
      <c r="B169" s="282" t="s">
        <v>111</v>
      </c>
      <c r="C169" s="226" t="s">
        <v>3</v>
      </c>
      <c r="D169" s="225">
        <f>$D$135+$D$139+$D$143</f>
        <v>3333115739.4642859</v>
      </c>
      <c r="E169" s="225">
        <f t="shared" ref="E169:K169" si="72">E157+E161+E165</f>
        <v>3333115739.4642859</v>
      </c>
      <c r="F169" s="225">
        <f t="shared" si="72"/>
        <v>3333115739.4642859</v>
      </c>
      <c r="G169" s="225">
        <f t="shared" si="72"/>
        <v>3333115739.4642859</v>
      </c>
      <c r="H169" s="225">
        <f t="shared" si="72"/>
        <v>3333115739.4642859</v>
      </c>
      <c r="I169" s="225">
        <f t="shared" si="72"/>
        <v>3333115739.4642859</v>
      </c>
      <c r="J169" s="225">
        <f t="shared" si="72"/>
        <v>3333115739.4642859</v>
      </c>
      <c r="K169" s="231">
        <f t="shared" si="72"/>
        <v>3333115739.4642859</v>
      </c>
    </row>
    <row r="170" spans="2:11" s="161" customFormat="1" ht="23.1" customHeight="1">
      <c r="B170" s="283"/>
      <c r="C170" s="226" t="s">
        <v>42</v>
      </c>
      <c r="D170" s="225">
        <f t="shared" ref="D170:K170" si="73">D158+D162+D166</f>
        <v>3235107329.0992069</v>
      </c>
      <c r="E170" s="225">
        <f t="shared" si="73"/>
        <v>3375628329.0992064</v>
      </c>
      <c r="F170" s="225">
        <f t="shared" si="73"/>
        <v>3334678329.0992064</v>
      </c>
      <c r="G170" s="225">
        <f t="shared" si="73"/>
        <v>3305338329.0992064</v>
      </c>
      <c r="H170" s="225">
        <f t="shared" si="73"/>
        <v>3273968329.0992064</v>
      </c>
      <c r="I170" s="225">
        <f t="shared" si="73"/>
        <v>3340483329.0992064</v>
      </c>
      <c r="J170" s="225">
        <f t="shared" si="73"/>
        <v>3304323329.0992064</v>
      </c>
      <c r="K170" s="231">
        <f t="shared" si="73"/>
        <v>3305484889.0992031</v>
      </c>
    </row>
    <row r="171" spans="2:11" s="161" customFormat="1" ht="23.1" customHeight="1">
      <c r="B171" s="283"/>
      <c r="C171" s="226" t="s">
        <v>43</v>
      </c>
      <c r="D171" s="225">
        <f t="shared" ref="D171:K171" si="74">D170-D169</f>
        <v>-98008410.365078926</v>
      </c>
      <c r="E171" s="225">
        <f t="shared" si="74"/>
        <v>42512589.634920597</v>
      </c>
      <c r="F171" s="225">
        <f t="shared" si="74"/>
        <v>1562589.6349205971</v>
      </c>
      <c r="G171" s="225">
        <f t="shared" si="74"/>
        <v>-27777410.365079403</v>
      </c>
      <c r="H171" s="225">
        <f t="shared" si="74"/>
        <v>-59147410.365079403</v>
      </c>
      <c r="I171" s="225">
        <f t="shared" si="74"/>
        <v>7367589.6349205971</v>
      </c>
      <c r="J171" s="225">
        <f t="shared" si="74"/>
        <v>-28792410.365079403</v>
      </c>
      <c r="K171" s="231">
        <f t="shared" si="74"/>
        <v>-27630850.365082741</v>
      </c>
    </row>
    <row r="172" spans="2:11" s="161" customFormat="1" ht="23.1" customHeight="1">
      <c r="B172" s="284"/>
      <c r="C172" s="226" t="s">
        <v>8</v>
      </c>
      <c r="D172" s="226"/>
      <c r="E172" s="226"/>
      <c r="F172" s="226"/>
      <c r="G172" s="226"/>
      <c r="H172" s="226"/>
      <c r="I172" s="226"/>
      <c r="J172" s="226"/>
      <c r="K172" s="234"/>
    </row>
    <row r="174" spans="2:11">
      <c r="D174" s="21">
        <f t="shared" ref="D174:K174" si="75">D171/23000</f>
        <v>-4261.2352332643013</v>
      </c>
      <c r="E174" s="21">
        <f t="shared" si="75"/>
        <v>1848.373462387852</v>
      </c>
      <c r="F174" s="21">
        <f t="shared" si="75"/>
        <v>67.938679779156388</v>
      </c>
      <c r="G174" s="21">
        <f t="shared" si="75"/>
        <v>-1207.713494133887</v>
      </c>
      <c r="H174" s="21">
        <f t="shared" si="75"/>
        <v>-2571.6265376121478</v>
      </c>
      <c r="I174" s="21">
        <f t="shared" si="75"/>
        <v>320.32998412698248</v>
      </c>
      <c r="J174" s="21">
        <f t="shared" si="75"/>
        <v>-1251.8439289164958</v>
      </c>
      <c r="K174" s="21">
        <f t="shared" si="75"/>
        <v>-1201.3413202209888</v>
      </c>
    </row>
    <row r="176" spans="2:11">
      <c r="D176" s="21">
        <f>D174-D152</f>
        <v>-1469.875991718417</v>
      </c>
      <c r="E176" s="21"/>
    </row>
    <row r="177" spans="3:11" hidden="1"/>
    <row r="178" spans="3:11" hidden="1"/>
    <row r="179" spans="3:11" hidden="1"/>
    <row r="180" spans="3:11" hidden="1">
      <c r="D180" s="201" t="s">
        <v>97</v>
      </c>
      <c r="E180" s="201" t="s">
        <v>98</v>
      </c>
      <c r="F180" s="201" t="s">
        <v>99</v>
      </c>
      <c r="G180" s="201" t="s">
        <v>100</v>
      </c>
      <c r="H180" s="201" t="s">
        <v>101</v>
      </c>
      <c r="I180" s="201" t="s">
        <v>102</v>
      </c>
      <c r="J180" s="201" t="s">
        <v>103</v>
      </c>
      <c r="K180" s="201" t="s">
        <v>117</v>
      </c>
    </row>
    <row r="181" spans="3:11" hidden="1">
      <c r="C181" s="252" t="s">
        <v>22</v>
      </c>
      <c r="D181" s="220">
        <f t="shared" ref="D181:K181" si="76">D149</f>
        <v>-64201262.555555344</v>
      </c>
      <c r="E181" s="220">
        <f t="shared" si="76"/>
        <v>76319737.44444418</v>
      </c>
      <c r="F181" s="220">
        <f t="shared" si="76"/>
        <v>35369737.44444418</v>
      </c>
      <c r="G181" s="220">
        <f t="shared" si="76"/>
        <v>6029737.4444441795</v>
      </c>
      <c r="H181" s="220">
        <f t="shared" si="76"/>
        <v>-25340262.55555582</v>
      </c>
      <c r="I181" s="220">
        <f t="shared" si="76"/>
        <v>41174737.44444418</v>
      </c>
      <c r="J181" s="220">
        <f t="shared" si="76"/>
        <v>5014737.4444441795</v>
      </c>
      <c r="K181" s="220">
        <f t="shared" si="76"/>
        <v>65195545</v>
      </c>
    </row>
    <row r="182" spans="3:11" hidden="1">
      <c r="C182" s="252" t="s">
        <v>30</v>
      </c>
      <c r="D182" s="220">
        <f t="shared" ref="D182:K182" si="77">D171</f>
        <v>-98008410.365078926</v>
      </c>
      <c r="E182" s="220">
        <f t="shared" si="77"/>
        <v>42512589.634920597</v>
      </c>
      <c r="F182" s="220">
        <f t="shared" si="77"/>
        <v>1562589.6349205971</v>
      </c>
      <c r="G182" s="220">
        <f t="shared" si="77"/>
        <v>-27777410.365079403</v>
      </c>
      <c r="H182" s="220">
        <f t="shared" si="77"/>
        <v>-59147410.365079403</v>
      </c>
      <c r="I182" s="220">
        <f t="shared" si="77"/>
        <v>7367589.6349205971</v>
      </c>
      <c r="J182" s="220">
        <f t="shared" si="77"/>
        <v>-28792410.365079403</v>
      </c>
      <c r="K182" s="220">
        <f t="shared" si="77"/>
        <v>-27630850.365082741</v>
      </c>
    </row>
    <row r="183" spans="3:11" hidden="1">
      <c r="C183" s="7" t="s">
        <v>43</v>
      </c>
      <c r="D183" s="18">
        <f t="shared" ref="D183:K183" si="78">D182-D181</f>
        <v>-33807147.809523582</v>
      </c>
      <c r="E183" s="18">
        <f t="shared" si="78"/>
        <v>-33807147.809523582</v>
      </c>
      <c r="F183" s="18">
        <f t="shared" si="78"/>
        <v>-33807147.809523582</v>
      </c>
      <c r="G183" s="18">
        <f t="shared" si="78"/>
        <v>-33807147.809523582</v>
      </c>
      <c r="H183" s="18">
        <f t="shared" si="78"/>
        <v>-33807147.809523582</v>
      </c>
      <c r="I183" s="18">
        <f t="shared" si="78"/>
        <v>-33807147.809523582</v>
      </c>
      <c r="J183" s="18">
        <f t="shared" si="78"/>
        <v>-33807147.809523582</v>
      </c>
      <c r="K183" s="18">
        <f t="shared" si="78"/>
        <v>-92826395.365082741</v>
      </c>
    </row>
    <row r="184" spans="3:11" hidden="1"/>
    <row r="185" spans="3:11" hidden="1">
      <c r="D185" s="21">
        <f>D183/23000</f>
        <v>-1469.8759917184166</v>
      </c>
    </row>
    <row r="186" spans="3:11" hidden="1"/>
    <row r="188" spans="3:11">
      <c r="F188" t="s">
        <v>118</v>
      </c>
    </row>
    <row r="189" spans="3:11">
      <c r="D189" s="131" t="s">
        <v>95</v>
      </c>
      <c r="E189" s="131" t="s">
        <v>3</v>
      </c>
      <c r="F189" s="131" t="s">
        <v>42</v>
      </c>
      <c r="G189" s="131" t="s">
        <v>43</v>
      </c>
      <c r="H189" s="230" t="s">
        <v>151</v>
      </c>
      <c r="I189" s="118"/>
    </row>
    <row r="190" spans="3:11">
      <c r="D190" s="7" t="s">
        <v>10</v>
      </c>
      <c r="E190" s="220">
        <f>D157</f>
        <v>1345458283.4642859</v>
      </c>
      <c r="F190" s="220">
        <f>D136</f>
        <v>1354599842.4642859</v>
      </c>
      <c r="G190" s="220">
        <f t="shared" ref="G190:G193" si="79">F190-E190</f>
        <v>9141559</v>
      </c>
      <c r="H190" t="s">
        <v>113</v>
      </c>
    </row>
    <row r="191" spans="3:11">
      <c r="D191" s="7" t="s">
        <v>15</v>
      </c>
      <c r="E191" s="220">
        <f>D161</f>
        <v>1335895977</v>
      </c>
      <c r="F191" s="220">
        <f>K140</f>
        <v>1310839740</v>
      </c>
      <c r="G191" s="220">
        <f t="shared" si="79"/>
        <v>-25056237</v>
      </c>
      <c r="H191" t="s">
        <v>119</v>
      </c>
    </row>
    <row r="192" spans="3:11">
      <c r="D192" s="7" t="s">
        <v>17</v>
      </c>
      <c r="E192" s="220">
        <f>D165</f>
        <v>651761479</v>
      </c>
      <c r="F192" s="220">
        <f>K144</f>
        <v>676912380</v>
      </c>
      <c r="G192" s="220">
        <f t="shared" si="79"/>
        <v>25150901</v>
      </c>
      <c r="H192" t="s">
        <v>120</v>
      </c>
    </row>
    <row r="193" spans="4:9">
      <c r="D193" s="7" t="s">
        <v>111</v>
      </c>
      <c r="E193" s="220">
        <f>SUM(E190:E192)</f>
        <v>3333115739.4642859</v>
      </c>
      <c r="F193" s="220">
        <f>SUM(F190:F192)</f>
        <v>3342351962.4642859</v>
      </c>
      <c r="G193" s="220">
        <f t="shared" si="79"/>
        <v>9236223</v>
      </c>
    </row>
    <row r="194" spans="4:9">
      <c r="G194" s="21">
        <f>G193/23000</f>
        <v>401.57491304347826</v>
      </c>
    </row>
    <row r="197" spans="4:9">
      <c r="D197" s="131" t="s">
        <v>95</v>
      </c>
      <c r="E197" s="131" t="s">
        <v>3</v>
      </c>
      <c r="F197" s="131" t="s">
        <v>42</v>
      </c>
      <c r="G197" s="131" t="s">
        <v>43</v>
      </c>
      <c r="H197" s="230" t="s">
        <v>152</v>
      </c>
      <c r="I197" s="118"/>
    </row>
    <row r="198" spans="4:9">
      <c r="D198" s="7" t="s">
        <v>10</v>
      </c>
      <c r="E198" s="220">
        <f t="shared" ref="E198:E200" si="80">E190</f>
        <v>1345458283.4642859</v>
      </c>
      <c r="F198" s="220">
        <f>D158</f>
        <v>1340870078.4642859</v>
      </c>
      <c r="G198" s="220">
        <f t="shared" ref="G198:G201" si="81">F198-E198</f>
        <v>-4588205</v>
      </c>
      <c r="H198" t="s">
        <v>113</v>
      </c>
    </row>
    <row r="199" spans="4:9">
      <c r="D199" s="7" t="s">
        <v>15</v>
      </c>
      <c r="E199" s="220">
        <f t="shared" si="80"/>
        <v>1335895977</v>
      </c>
      <c r="F199" s="220">
        <f>K162</f>
        <v>1304937211.96825</v>
      </c>
      <c r="G199" s="220">
        <f t="shared" si="81"/>
        <v>-30958765.031749964</v>
      </c>
      <c r="H199" t="s">
        <v>119</v>
      </c>
    </row>
    <row r="200" spans="4:9">
      <c r="D200" s="7" t="s">
        <v>17</v>
      </c>
      <c r="E200" s="220">
        <f t="shared" si="80"/>
        <v>651761479</v>
      </c>
      <c r="F200" s="220">
        <f>K166</f>
        <v>659677598.66666698</v>
      </c>
      <c r="G200" s="220">
        <f t="shared" si="81"/>
        <v>7916119.6666669846</v>
      </c>
      <c r="H200" t="s">
        <v>120</v>
      </c>
    </row>
    <row r="201" spans="4:9">
      <c r="D201" s="7" t="s">
        <v>111</v>
      </c>
      <c r="E201" s="220">
        <f>SUM(E198:E200)</f>
        <v>3333115739.4642859</v>
      </c>
      <c r="F201" s="220">
        <f>SUM(F198:F200)</f>
        <v>3305484889.0992031</v>
      </c>
      <c r="G201" s="220">
        <f t="shared" si="81"/>
        <v>-27630850.365082741</v>
      </c>
    </row>
    <row r="202" spans="4:9">
      <c r="G202" s="21">
        <f>G201/23000</f>
        <v>-1201.3413202209888</v>
      </c>
    </row>
    <row r="205" spans="4:9">
      <c r="G205" s="21">
        <f>G202-G194</f>
        <v>-1602.9162332644671</v>
      </c>
    </row>
    <row r="209" spans="3:11">
      <c r="C209" s="300" t="s">
        <v>95</v>
      </c>
      <c r="D209" s="300" t="s">
        <v>96</v>
      </c>
      <c r="E209" s="236" t="s">
        <v>97</v>
      </c>
      <c r="F209" s="236" t="s">
        <v>98</v>
      </c>
      <c r="G209" s="236" t="s">
        <v>99</v>
      </c>
      <c r="H209" s="236" t="s">
        <v>100</v>
      </c>
      <c r="I209" s="236" t="s">
        <v>101</v>
      </c>
      <c r="J209" s="236" t="s">
        <v>102</v>
      </c>
      <c r="K209" s="236" t="s">
        <v>103</v>
      </c>
    </row>
    <row r="210" spans="3:11" ht="30">
      <c r="C210" s="301"/>
      <c r="D210" s="301"/>
      <c r="E210" s="168" t="s">
        <v>104</v>
      </c>
      <c r="F210" s="237" t="s">
        <v>153</v>
      </c>
      <c r="G210" s="237" t="s">
        <v>154</v>
      </c>
      <c r="H210" s="237" t="s">
        <v>155</v>
      </c>
      <c r="I210" s="237" t="s">
        <v>156</v>
      </c>
      <c r="J210" s="237" t="s">
        <v>157</v>
      </c>
      <c r="K210" s="237" t="s">
        <v>157</v>
      </c>
    </row>
    <row r="211" spans="3:11">
      <c r="C211" s="168" t="s">
        <v>10</v>
      </c>
      <c r="D211" s="238">
        <f>+D135</f>
        <v>1345458283.4642859</v>
      </c>
      <c r="E211" s="239">
        <f t="shared" ref="E211:K211" si="82">+D136</f>
        <v>1354599842.4642859</v>
      </c>
      <c r="F211" s="239">
        <f t="shared" si="82"/>
        <v>1354599842.4642859</v>
      </c>
      <c r="G211" s="239">
        <f t="shared" si="82"/>
        <v>1354599842.4642859</v>
      </c>
      <c r="H211" s="239">
        <f t="shared" si="82"/>
        <v>1354599842.4642859</v>
      </c>
      <c r="I211" s="239">
        <f t="shared" si="82"/>
        <v>1354599842.4642859</v>
      </c>
      <c r="J211" s="239">
        <f t="shared" si="82"/>
        <v>1354599842.4642859</v>
      </c>
      <c r="K211" s="239">
        <f t="shared" si="82"/>
        <v>1354599842.4642859</v>
      </c>
    </row>
    <row r="212" spans="3:11">
      <c r="C212" s="168" t="s">
        <v>15</v>
      </c>
      <c r="D212" s="238">
        <f>+D139</f>
        <v>1335895977</v>
      </c>
      <c r="E212" s="239">
        <f t="shared" ref="E212:K212" si="83">+D140</f>
        <v>1272644723.7777777</v>
      </c>
      <c r="F212" s="239">
        <f t="shared" si="83"/>
        <v>1385061523.7777777</v>
      </c>
      <c r="G212" s="239">
        <f t="shared" si="83"/>
        <v>1352301523.7777777</v>
      </c>
      <c r="H212" s="239">
        <f t="shared" si="83"/>
        <v>1328829523.7777777</v>
      </c>
      <c r="I212" s="239">
        <f t="shared" si="83"/>
        <v>1303733523.7777777</v>
      </c>
      <c r="J212" s="239">
        <f t="shared" si="83"/>
        <v>1356945523.7777777</v>
      </c>
      <c r="K212" s="239">
        <f t="shared" si="83"/>
        <v>1328017523.7777777</v>
      </c>
    </row>
    <row r="213" spans="3:11">
      <c r="C213" s="168" t="s">
        <v>17</v>
      </c>
      <c r="D213" s="238">
        <f>+D143</f>
        <v>651761479</v>
      </c>
      <c r="E213" s="239">
        <f t="shared" ref="E213:K213" si="84">+D144</f>
        <v>641669910.66666675</v>
      </c>
      <c r="F213" s="239">
        <f t="shared" si="84"/>
        <v>669774110.66666663</v>
      </c>
      <c r="G213" s="239">
        <f t="shared" si="84"/>
        <v>661584110.66666663</v>
      </c>
      <c r="H213" s="239">
        <f t="shared" si="84"/>
        <v>655716110.66666663</v>
      </c>
      <c r="I213" s="239">
        <f t="shared" si="84"/>
        <v>649442110.66666663</v>
      </c>
      <c r="J213" s="239">
        <f t="shared" si="84"/>
        <v>662745110.66666663</v>
      </c>
      <c r="K213" s="239">
        <f t="shared" si="84"/>
        <v>655513110.66666663</v>
      </c>
    </row>
    <row r="214" spans="3:11">
      <c r="C214" s="168" t="s">
        <v>111</v>
      </c>
      <c r="D214" s="238">
        <f>D211+D212+D213</f>
        <v>3333115739.4642859</v>
      </c>
      <c r="E214" s="238">
        <f t="shared" ref="E214:K214" si="85">+E211+E212+E213</f>
        <v>3268914476.9087305</v>
      </c>
      <c r="F214" s="238">
        <f t="shared" si="85"/>
        <v>3409435476.90873</v>
      </c>
      <c r="G214" s="238">
        <f t="shared" si="85"/>
        <v>3368485476.90873</v>
      </c>
      <c r="H214" s="238">
        <f t="shared" si="85"/>
        <v>3339145476.90873</v>
      </c>
      <c r="I214" s="238">
        <f t="shared" si="85"/>
        <v>3307775476.90873</v>
      </c>
      <c r="J214" s="238">
        <f t="shared" si="85"/>
        <v>3374290476.90873</v>
      </c>
      <c r="K214" s="238">
        <f t="shared" si="85"/>
        <v>3338130476.90873</v>
      </c>
    </row>
    <row r="215" spans="3:11">
      <c r="C215" s="168" t="s">
        <v>43</v>
      </c>
      <c r="D215" s="168"/>
      <c r="E215" s="239">
        <f t="shared" ref="E215:K215" si="86">+E214-$D$214</f>
        <v>-64201262.555555344</v>
      </c>
      <c r="F215" s="239">
        <f t="shared" si="86"/>
        <v>76319737.44444418</v>
      </c>
      <c r="G215" s="239">
        <f t="shared" si="86"/>
        <v>35369737.44444418</v>
      </c>
      <c r="H215" s="239">
        <f t="shared" si="86"/>
        <v>6029737.4444441795</v>
      </c>
      <c r="I215" s="239">
        <f t="shared" si="86"/>
        <v>-25340262.55555582</v>
      </c>
      <c r="J215" s="239">
        <f t="shared" si="86"/>
        <v>41174737.44444418</v>
      </c>
      <c r="K215" s="239">
        <f t="shared" si="86"/>
        <v>5014737.4444441795</v>
      </c>
    </row>
    <row r="216" spans="3:11">
      <c r="C216" s="168"/>
      <c r="D216" s="168" t="s">
        <v>112</v>
      </c>
      <c r="E216" s="239">
        <f t="shared" ref="E216:K216" si="87">+E215/23000</f>
        <v>-2791.3592415458843</v>
      </c>
      <c r="F216" s="239">
        <f t="shared" si="87"/>
        <v>3318.2494541062688</v>
      </c>
      <c r="G216" s="239">
        <f t="shared" si="87"/>
        <v>1537.814671497573</v>
      </c>
      <c r="H216" s="239">
        <f t="shared" si="87"/>
        <v>262.16249758452955</v>
      </c>
      <c r="I216" s="239">
        <f t="shared" si="87"/>
        <v>-1101.7505458937312</v>
      </c>
      <c r="J216" s="239">
        <f t="shared" si="87"/>
        <v>1790.2059758453991</v>
      </c>
      <c r="K216" s="239">
        <f t="shared" si="87"/>
        <v>218.03206280192086</v>
      </c>
    </row>
    <row r="217" spans="3:11">
      <c r="D217" s="160"/>
    </row>
    <row r="218" spans="3:11">
      <c r="D218" s="160"/>
    </row>
    <row r="219" spans="3:11">
      <c r="D219" s="160"/>
    </row>
    <row r="220" spans="3:11">
      <c r="C220" s="300" t="s">
        <v>95</v>
      </c>
      <c r="D220" s="300" t="s">
        <v>96</v>
      </c>
      <c r="E220" s="236" t="s">
        <v>97</v>
      </c>
      <c r="F220" s="236" t="s">
        <v>98</v>
      </c>
      <c r="G220" s="236" t="s">
        <v>99</v>
      </c>
      <c r="H220" s="236" t="s">
        <v>100</v>
      </c>
      <c r="I220" s="236" t="s">
        <v>101</v>
      </c>
      <c r="J220" s="236" t="s">
        <v>102</v>
      </c>
      <c r="K220" s="236" t="s">
        <v>103</v>
      </c>
    </row>
    <row r="221" spans="3:11" ht="30">
      <c r="C221" s="301"/>
      <c r="D221" s="301"/>
      <c r="E221" s="168" t="s">
        <v>104</v>
      </c>
      <c r="F221" s="237" t="s">
        <v>153</v>
      </c>
      <c r="G221" s="237" t="s">
        <v>154</v>
      </c>
      <c r="H221" s="237" t="s">
        <v>155</v>
      </c>
      <c r="I221" s="237" t="s">
        <v>156</v>
      </c>
      <c r="J221" s="237" t="s">
        <v>157</v>
      </c>
      <c r="K221" s="237" t="s">
        <v>157</v>
      </c>
    </row>
    <row r="222" spans="3:11">
      <c r="C222" s="168" t="s">
        <v>10</v>
      </c>
      <c r="D222" s="238">
        <f>+D157</f>
        <v>1345458283.4642859</v>
      </c>
      <c r="E222" s="239">
        <f t="shared" ref="E222:K222" si="88">+D158</f>
        <v>1340870078.4642859</v>
      </c>
      <c r="F222" s="239">
        <f t="shared" si="88"/>
        <v>1340870078.4642859</v>
      </c>
      <c r="G222" s="239">
        <f t="shared" si="88"/>
        <v>1340870078.4642859</v>
      </c>
      <c r="H222" s="239">
        <f t="shared" si="88"/>
        <v>1340870078.4642859</v>
      </c>
      <c r="I222" s="239">
        <f t="shared" si="88"/>
        <v>1340870078.4642859</v>
      </c>
      <c r="J222" s="239">
        <f t="shared" si="88"/>
        <v>1340870078.4642859</v>
      </c>
      <c r="K222" s="239">
        <f t="shared" si="88"/>
        <v>1340870078.4642859</v>
      </c>
    </row>
    <row r="223" spans="3:11">
      <c r="C223" s="168" t="s">
        <v>15</v>
      </c>
      <c r="D223" s="238">
        <f>+D161</f>
        <v>1335895977</v>
      </c>
      <c r="E223" s="239">
        <f t="shared" ref="E223:K223" si="89">+D162</f>
        <v>1262568531.9682541</v>
      </c>
      <c r="F223" s="239">
        <f t="shared" si="89"/>
        <v>1374985331.9682541</v>
      </c>
      <c r="G223" s="239">
        <f t="shared" si="89"/>
        <v>1342225331.9682541</v>
      </c>
      <c r="H223" s="239">
        <f t="shared" si="89"/>
        <v>1318753331.9682541</v>
      </c>
      <c r="I223" s="239">
        <f t="shared" si="89"/>
        <v>1293657331.9682541</v>
      </c>
      <c r="J223" s="239">
        <f t="shared" si="89"/>
        <v>1346869331.9682541</v>
      </c>
      <c r="K223" s="239">
        <f t="shared" si="89"/>
        <v>1317941331.9682541</v>
      </c>
    </row>
    <row r="224" spans="3:11">
      <c r="C224" s="168" t="s">
        <v>17</v>
      </c>
      <c r="D224" s="238">
        <f>+D165</f>
        <v>651761479</v>
      </c>
      <c r="E224" s="239">
        <f t="shared" ref="E224:K224" si="90">+D166</f>
        <v>631668718.66666675</v>
      </c>
      <c r="F224" s="239">
        <f t="shared" si="90"/>
        <v>659772918.66666663</v>
      </c>
      <c r="G224" s="239">
        <f t="shared" si="90"/>
        <v>651582918.66666663</v>
      </c>
      <c r="H224" s="239">
        <f t="shared" si="90"/>
        <v>645714918.66666663</v>
      </c>
      <c r="I224" s="239">
        <f t="shared" si="90"/>
        <v>639440918.66666663</v>
      </c>
      <c r="J224" s="239">
        <f t="shared" si="90"/>
        <v>652743918.66666663</v>
      </c>
      <c r="K224" s="239">
        <f t="shared" si="90"/>
        <v>645511918.66666663</v>
      </c>
    </row>
    <row r="225" spans="3:11">
      <c r="C225" s="168" t="s">
        <v>111</v>
      </c>
      <c r="D225" s="238">
        <f t="shared" ref="D225:K225" si="91">+D222+D223+D224</f>
        <v>3333115739.4642859</v>
      </c>
      <c r="E225" s="238">
        <f t="shared" si="91"/>
        <v>3235107329.0992069</v>
      </c>
      <c r="F225" s="238">
        <f t="shared" si="91"/>
        <v>3375628329.0992064</v>
      </c>
      <c r="G225" s="238">
        <f t="shared" si="91"/>
        <v>3334678329.0992064</v>
      </c>
      <c r="H225" s="238">
        <f t="shared" si="91"/>
        <v>3305338329.0992064</v>
      </c>
      <c r="I225" s="238">
        <f t="shared" si="91"/>
        <v>3273968329.0992064</v>
      </c>
      <c r="J225" s="238">
        <f t="shared" si="91"/>
        <v>3340483329.0992064</v>
      </c>
      <c r="K225" s="238">
        <f t="shared" si="91"/>
        <v>3304323329.0992064</v>
      </c>
    </row>
    <row r="226" spans="3:11">
      <c r="C226" s="168" t="s">
        <v>43</v>
      </c>
      <c r="D226" s="168"/>
      <c r="E226" s="239">
        <f t="shared" ref="E226:K226" si="92">+E225-$D$225</f>
        <v>-98008410.365078926</v>
      </c>
      <c r="F226" s="239">
        <f t="shared" si="92"/>
        <v>42512589.634920597</v>
      </c>
      <c r="G226" s="239">
        <f t="shared" si="92"/>
        <v>1562589.6349205971</v>
      </c>
      <c r="H226" s="239">
        <f t="shared" si="92"/>
        <v>-27777410.365079403</v>
      </c>
      <c r="I226" s="239">
        <f t="shared" si="92"/>
        <v>-59147410.365079403</v>
      </c>
      <c r="J226" s="239">
        <f t="shared" si="92"/>
        <v>7367589.6349205971</v>
      </c>
      <c r="K226" s="239">
        <f t="shared" si="92"/>
        <v>-28792410.365079403</v>
      </c>
    </row>
    <row r="227" spans="3:11">
      <c r="C227" s="168"/>
      <c r="D227" s="168" t="s">
        <v>112</v>
      </c>
      <c r="E227" s="239">
        <f t="shared" ref="E227:K227" si="93">+E226/23000</f>
        <v>-4261.2352332643013</v>
      </c>
      <c r="F227" s="239">
        <f t="shared" si="93"/>
        <v>1848.373462387852</v>
      </c>
      <c r="G227" s="239">
        <f t="shared" si="93"/>
        <v>67.938679779156388</v>
      </c>
      <c r="H227" s="239">
        <f t="shared" si="93"/>
        <v>-1207.713494133887</v>
      </c>
      <c r="I227" s="239">
        <f t="shared" si="93"/>
        <v>-2571.6265376121478</v>
      </c>
      <c r="J227" s="239">
        <f t="shared" si="93"/>
        <v>320.32998412698248</v>
      </c>
      <c r="K227" s="239">
        <f t="shared" si="93"/>
        <v>-1251.8439289164958</v>
      </c>
    </row>
    <row r="229" spans="3:11">
      <c r="K229" s="21">
        <f>+K216-K227</f>
        <v>1469.8759917184166</v>
      </c>
    </row>
  </sheetData>
  <mergeCells count="120">
    <mergeCell ref="K72:M74"/>
    <mergeCell ref="B155:C156"/>
    <mergeCell ref="B133:C134"/>
    <mergeCell ref="K78:M80"/>
    <mergeCell ref="K66:M68"/>
    <mergeCell ref="K60:M62"/>
    <mergeCell ref="K48:M49"/>
    <mergeCell ref="C209:C210"/>
    <mergeCell ref="C220:C221"/>
    <mergeCell ref="D48:D49"/>
    <mergeCell ref="D209:D210"/>
    <mergeCell ref="D220:D221"/>
    <mergeCell ref="E48:E49"/>
    <mergeCell ref="B55:B58"/>
    <mergeCell ref="B59:B64"/>
    <mergeCell ref="B65:B70"/>
    <mergeCell ref="B71:B76"/>
    <mergeCell ref="B77:B82"/>
    <mergeCell ref="B83:B127"/>
    <mergeCell ref="B135:B138"/>
    <mergeCell ref="B139:B142"/>
    <mergeCell ref="B143:B146"/>
    <mergeCell ref="K123:M123"/>
    <mergeCell ref="K124:M124"/>
    <mergeCell ref="I32:I34"/>
    <mergeCell ref="I39:I41"/>
    <mergeCell ref="J48:J49"/>
    <mergeCell ref="B147:B150"/>
    <mergeCell ref="B157:B160"/>
    <mergeCell ref="B161:B164"/>
    <mergeCell ref="B165:B168"/>
    <mergeCell ref="B169:B172"/>
    <mergeCell ref="C48:C49"/>
    <mergeCell ref="C51:C54"/>
    <mergeCell ref="C55:C58"/>
    <mergeCell ref="C59:C62"/>
    <mergeCell ref="C65:C68"/>
    <mergeCell ref="C71:C74"/>
    <mergeCell ref="C77:C80"/>
    <mergeCell ref="C83:C96"/>
    <mergeCell ref="C97:C110"/>
    <mergeCell ref="C111:C124"/>
    <mergeCell ref="C125:C127"/>
    <mergeCell ref="E146:F146"/>
    <mergeCell ref="G146:H146"/>
    <mergeCell ref="I146:J146"/>
    <mergeCell ref="B48:B49"/>
    <mergeCell ref="B51:B54"/>
    <mergeCell ref="K125:M125"/>
    <mergeCell ref="K126:M126"/>
    <mergeCell ref="K127:M127"/>
    <mergeCell ref="E138:F138"/>
    <mergeCell ref="G138:H138"/>
    <mergeCell ref="I138:J138"/>
    <mergeCell ref="E142:F142"/>
    <mergeCell ref="G142:H142"/>
    <mergeCell ref="I142:J142"/>
    <mergeCell ref="K114:M114"/>
    <mergeCell ref="K115:M115"/>
    <mergeCell ref="K116:M116"/>
    <mergeCell ref="K117:M117"/>
    <mergeCell ref="K118:M118"/>
    <mergeCell ref="K119:M119"/>
    <mergeCell ref="K120:M120"/>
    <mergeCell ref="K121:M121"/>
    <mergeCell ref="K122:M122"/>
    <mergeCell ref="K105:M105"/>
    <mergeCell ref="K106:M106"/>
    <mergeCell ref="K107:M107"/>
    <mergeCell ref="K108:M108"/>
    <mergeCell ref="K109:M109"/>
    <mergeCell ref="K110:M110"/>
    <mergeCell ref="K111:M111"/>
    <mergeCell ref="K112:M112"/>
    <mergeCell ref="K113:M113"/>
    <mergeCell ref="K96:M96"/>
    <mergeCell ref="K97:M97"/>
    <mergeCell ref="K98:M98"/>
    <mergeCell ref="K99:M99"/>
    <mergeCell ref="K100:M100"/>
    <mergeCell ref="K101:M101"/>
    <mergeCell ref="K102:M102"/>
    <mergeCell ref="K103:M103"/>
    <mergeCell ref="K104:M104"/>
    <mergeCell ref="K87:M87"/>
    <mergeCell ref="K88:M88"/>
    <mergeCell ref="K89:M89"/>
    <mergeCell ref="K90:M90"/>
    <mergeCell ref="K91:M91"/>
    <mergeCell ref="K92:M92"/>
    <mergeCell ref="K93:M93"/>
    <mergeCell ref="K94:M94"/>
    <mergeCell ref="K95:M95"/>
    <mergeCell ref="K75:M75"/>
    <mergeCell ref="K76:M76"/>
    <mergeCell ref="K77:M77"/>
    <mergeCell ref="K81:M81"/>
    <mergeCell ref="K82:M82"/>
    <mergeCell ref="K83:M83"/>
    <mergeCell ref="K84:M84"/>
    <mergeCell ref="K85:M85"/>
    <mergeCell ref="K86:M86"/>
    <mergeCell ref="K57:M57"/>
    <mergeCell ref="K58:M58"/>
    <mergeCell ref="K59:M59"/>
    <mergeCell ref="K63:M63"/>
    <mergeCell ref="K64:M64"/>
    <mergeCell ref="K65:M65"/>
    <mergeCell ref="K69:M69"/>
    <mergeCell ref="K70:M70"/>
    <mergeCell ref="K71:M71"/>
    <mergeCell ref="F48:G48"/>
    <mergeCell ref="H48:I48"/>
    <mergeCell ref="K50:M50"/>
    <mergeCell ref="K51:M51"/>
    <mergeCell ref="K52:M52"/>
    <mergeCell ref="K53:M53"/>
    <mergeCell ref="K54:M54"/>
    <mergeCell ref="K55:M55"/>
    <mergeCell ref="K56:M56"/>
  </mergeCells>
  <pageMargins left="0.7" right="0.7" top="0.75" bottom="0.75" header="0.3" footer="0.3"/>
  <pageSetup paperSize="9" scale="39" fitToHeight="0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4:S249"/>
  <sheetViews>
    <sheetView showGridLines="0" tabSelected="1" topLeftCell="A218" zoomScale="86" zoomScaleNormal="86" workbookViewId="0">
      <selection activeCell="F238" sqref="F238:I238"/>
    </sheetView>
  </sheetViews>
  <sheetFormatPr defaultColWidth="9" defaultRowHeight="15"/>
  <cols>
    <col min="1" max="1" width="14.7109375" customWidth="1"/>
    <col min="2" max="2" width="16" customWidth="1"/>
    <col min="3" max="3" width="19.85546875" customWidth="1"/>
    <col min="4" max="4" width="24.28515625" customWidth="1"/>
    <col min="5" max="5" width="22.140625" customWidth="1"/>
    <col min="6" max="10" width="23.42578125" customWidth="1"/>
    <col min="11" max="11" width="20.28515625" customWidth="1"/>
    <col min="12" max="12" width="14.140625" customWidth="1"/>
    <col min="13" max="19" width="16.28515625" customWidth="1"/>
  </cols>
  <sheetData>
    <row r="4" spans="2:19" ht="46.5">
      <c r="B4" s="206" t="s">
        <v>192</v>
      </c>
    </row>
    <row r="5" spans="2:19" hidden="1"/>
    <row r="6" spans="2:19" hidden="1">
      <c r="C6" s="22" t="s">
        <v>1</v>
      </c>
    </row>
    <row r="7" spans="2:19" ht="30" hidden="1">
      <c r="C7" s="207" t="s">
        <v>2</v>
      </c>
      <c r="D7" s="262" t="s">
        <v>3</v>
      </c>
      <c r="E7" s="209" t="s">
        <v>4</v>
      </c>
      <c r="F7" s="262"/>
      <c r="G7" s="262" t="s">
        <v>6</v>
      </c>
      <c r="H7" s="262" t="s">
        <v>7</v>
      </c>
      <c r="I7" s="262" t="s">
        <v>8</v>
      </c>
      <c r="J7" s="262" t="s">
        <v>9</v>
      </c>
    </row>
    <row r="8" spans="2:19" ht="75" hidden="1">
      <c r="C8" s="265" t="s">
        <v>10</v>
      </c>
      <c r="D8" s="204">
        <v>85121795</v>
      </c>
      <c r="E8" s="210">
        <v>76154200</v>
      </c>
      <c r="F8" s="211"/>
      <c r="G8" s="204">
        <v>89576433</v>
      </c>
      <c r="H8" s="204">
        <v>132247427</v>
      </c>
      <c r="I8" s="263" t="s">
        <v>11</v>
      </c>
      <c r="J8" s="210">
        <f>+E8-D8</f>
        <v>-8967595</v>
      </c>
    </row>
    <row r="9" spans="2:19" hidden="1"/>
    <row r="10" spans="2:19" ht="30" hidden="1">
      <c r="C10" s="207" t="s">
        <v>12</v>
      </c>
      <c r="D10" s="262" t="s">
        <v>3</v>
      </c>
      <c r="E10" s="262" t="s">
        <v>4</v>
      </c>
      <c r="F10" s="262"/>
      <c r="G10" s="209" t="s">
        <v>6</v>
      </c>
      <c r="H10" s="262" t="s">
        <v>7</v>
      </c>
      <c r="I10" s="262" t="s">
        <v>8</v>
      </c>
      <c r="J10" s="262" t="s">
        <v>9</v>
      </c>
      <c r="L10" s="207" t="s">
        <v>13</v>
      </c>
      <c r="M10" s="262" t="s">
        <v>3</v>
      </c>
      <c r="N10" s="262" t="s">
        <v>4</v>
      </c>
      <c r="O10" s="262" t="s">
        <v>5</v>
      </c>
      <c r="P10" s="262" t="s">
        <v>6</v>
      </c>
      <c r="Q10" s="262" t="s">
        <v>7</v>
      </c>
      <c r="R10" s="262" t="s">
        <v>8</v>
      </c>
      <c r="S10" s="262" t="s">
        <v>9</v>
      </c>
    </row>
    <row r="11" spans="2:19" ht="45" hidden="1">
      <c r="C11" s="265" t="s">
        <v>10</v>
      </c>
      <c r="D11" s="204">
        <v>42471157</v>
      </c>
      <c r="E11" s="204">
        <v>40682600</v>
      </c>
      <c r="F11" s="204"/>
      <c r="G11" s="204">
        <v>33197822</v>
      </c>
      <c r="H11" s="211"/>
      <c r="I11" s="261" t="s">
        <v>14</v>
      </c>
      <c r="J11" s="204"/>
      <c r="L11" s="265" t="s">
        <v>10</v>
      </c>
      <c r="M11" s="211"/>
      <c r="N11" s="204">
        <v>44264590</v>
      </c>
      <c r="O11" s="211"/>
      <c r="P11" s="211"/>
      <c r="Q11" s="204">
        <v>42968280</v>
      </c>
      <c r="R11" s="204"/>
      <c r="S11" s="204"/>
    </row>
    <row r="12" spans="2:19" ht="45" hidden="1">
      <c r="C12" s="265" t="s">
        <v>15</v>
      </c>
      <c r="D12" s="204">
        <v>45837757</v>
      </c>
      <c r="E12" s="204">
        <v>45223800</v>
      </c>
      <c r="F12" s="204"/>
      <c r="G12" s="204">
        <v>38273422</v>
      </c>
      <c r="H12" s="211"/>
      <c r="I12" s="261" t="s">
        <v>16</v>
      </c>
      <c r="J12" s="204"/>
      <c r="L12" s="265" t="s">
        <v>15</v>
      </c>
      <c r="M12" s="211"/>
      <c r="N12" s="204">
        <v>48585800</v>
      </c>
      <c r="O12" s="211"/>
      <c r="P12" s="211"/>
      <c r="Q12" s="204">
        <v>48078804</v>
      </c>
      <c r="R12" s="204"/>
      <c r="S12" s="204"/>
    </row>
    <row r="13" spans="2:19" ht="30" hidden="1">
      <c r="C13" s="265" t="s">
        <v>17</v>
      </c>
      <c r="D13" s="204">
        <v>44133157</v>
      </c>
      <c r="E13" s="204">
        <v>42965200</v>
      </c>
      <c r="F13" s="204"/>
      <c r="G13" s="204">
        <v>35764522</v>
      </c>
      <c r="H13" s="211"/>
      <c r="I13" s="261" t="s">
        <v>18</v>
      </c>
      <c r="J13" s="204"/>
      <c r="L13" s="265" t="s">
        <v>17</v>
      </c>
      <c r="M13" s="211"/>
      <c r="N13" s="204">
        <v>45782200</v>
      </c>
      <c r="O13" s="211"/>
      <c r="P13" s="211"/>
      <c r="Q13" s="204">
        <v>46398804</v>
      </c>
      <c r="R13" s="204"/>
      <c r="S13" s="204"/>
    </row>
    <row r="14" spans="2:19" hidden="1">
      <c r="C14" s="265" t="s">
        <v>19</v>
      </c>
      <c r="D14" s="210">
        <f t="shared" ref="D14:H14" si="0">SUM(D11:D13)</f>
        <v>132442071</v>
      </c>
      <c r="E14" s="204">
        <f t="shared" si="0"/>
        <v>128871600</v>
      </c>
      <c r="F14" s="204"/>
      <c r="G14" s="210">
        <f t="shared" si="0"/>
        <v>107235766</v>
      </c>
      <c r="H14" s="211">
        <f t="shared" si="0"/>
        <v>0</v>
      </c>
      <c r="I14" s="204">
        <f>+E14-D14</f>
        <v>-3570471</v>
      </c>
      <c r="J14" s="204">
        <f>+G14-D14</f>
        <v>-25206305</v>
      </c>
      <c r="L14" s="265" t="s">
        <v>19</v>
      </c>
      <c r="M14" s="211">
        <f t="shared" ref="M14:S14" si="1">SUM(M11:M13)</f>
        <v>0</v>
      </c>
      <c r="N14" s="204">
        <f t="shared" si="1"/>
        <v>138632590</v>
      </c>
      <c r="O14" s="211">
        <f t="shared" si="1"/>
        <v>0</v>
      </c>
      <c r="P14" s="211">
        <f t="shared" si="1"/>
        <v>0</v>
      </c>
      <c r="Q14" s="204">
        <f t="shared" si="1"/>
        <v>137445888</v>
      </c>
      <c r="R14" s="204">
        <f t="shared" si="1"/>
        <v>0</v>
      </c>
      <c r="S14" s="204">
        <f t="shared" si="1"/>
        <v>0</v>
      </c>
    </row>
    <row r="15" spans="2:19" hidden="1">
      <c r="C15" s="265" t="s">
        <v>20</v>
      </c>
      <c r="D15" s="210">
        <f t="shared" ref="D15:G15" si="2">AVERAGE(D11:D13)</f>
        <v>44147357</v>
      </c>
      <c r="E15" s="204">
        <f t="shared" si="2"/>
        <v>42957200</v>
      </c>
      <c r="F15" s="204"/>
      <c r="G15" s="210">
        <f t="shared" si="2"/>
        <v>35745255.333333336</v>
      </c>
      <c r="H15" s="204"/>
      <c r="I15" s="204"/>
      <c r="J15" s="210">
        <f>+G15-D15</f>
        <v>-8402101.6666666642</v>
      </c>
      <c r="L15" s="265" t="s">
        <v>20</v>
      </c>
      <c r="M15" s="204"/>
      <c r="N15" s="210">
        <f>AVERAGE(N11:N13)</f>
        <v>46210863.333333336</v>
      </c>
      <c r="O15" s="204"/>
      <c r="P15" s="204"/>
      <c r="Q15" s="204">
        <f>AVERAGE(Q11:Q13)</f>
        <v>45815296</v>
      </c>
      <c r="R15" s="204"/>
      <c r="S15" s="204"/>
    </row>
    <row r="16" spans="2:19" hidden="1"/>
    <row r="17" spans="3:19" ht="30" hidden="1">
      <c r="C17" s="207" t="s">
        <v>21</v>
      </c>
      <c r="D17" s="262" t="s">
        <v>3</v>
      </c>
      <c r="E17" s="262" t="s">
        <v>4</v>
      </c>
      <c r="F17" s="262"/>
      <c r="G17" s="262" t="s">
        <v>6</v>
      </c>
      <c r="H17" s="262" t="s">
        <v>7</v>
      </c>
      <c r="I17" s="262" t="s">
        <v>8</v>
      </c>
      <c r="J17" s="262" t="s">
        <v>9</v>
      </c>
      <c r="L17" s="207" t="s">
        <v>22</v>
      </c>
      <c r="M17" s="262" t="s">
        <v>3</v>
      </c>
      <c r="N17" s="262" t="s">
        <v>4</v>
      </c>
      <c r="O17" s="262" t="s">
        <v>5</v>
      </c>
      <c r="P17" s="262" t="s">
        <v>6</v>
      </c>
      <c r="Q17" s="262" t="s">
        <v>7</v>
      </c>
      <c r="R17" s="262" t="s">
        <v>8</v>
      </c>
      <c r="S17" s="262" t="s">
        <v>9</v>
      </c>
    </row>
    <row r="18" spans="3:19" ht="60" hidden="1">
      <c r="C18" s="265" t="s">
        <v>10</v>
      </c>
      <c r="D18" s="204">
        <v>43773446.350000001</v>
      </c>
      <c r="E18" s="204">
        <v>47936750</v>
      </c>
      <c r="F18" s="211"/>
      <c r="G18" s="211"/>
      <c r="H18" s="211"/>
      <c r="I18" s="263" t="s">
        <v>23</v>
      </c>
      <c r="J18" s="204"/>
      <c r="L18" s="265" t="s">
        <v>10</v>
      </c>
      <c r="M18" s="204">
        <v>341866500</v>
      </c>
      <c r="N18" s="204">
        <v>44789186</v>
      </c>
      <c r="O18" s="204">
        <v>375667120</v>
      </c>
      <c r="P18" s="204">
        <v>336207798</v>
      </c>
      <c r="Q18" s="204">
        <v>388651417</v>
      </c>
      <c r="R18" s="261" t="s">
        <v>24</v>
      </c>
      <c r="S18" s="204">
        <f t="shared" ref="S18:S22" si="3">+P18-M18</f>
        <v>-5658702</v>
      </c>
    </row>
    <row r="19" spans="3:19" ht="120" hidden="1">
      <c r="C19" s="265" t="s">
        <v>15</v>
      </c>
      <c r="D19" s="204">
        <v>50188321</v>
      </c>
      <c r="E19" s="204">
        <v>55638252.380952403</v>
      </c>
      <c r="F19" s="211"/>
      <c r="G19" s="211"/>
      <c r="H19" s="211"/>
      <c r="I19" s="263" t="s">
        <v>25</v>
      </c>
      <c r="J19" s="204"/>
      <c r="L19" s="265" t="s">
        <v>15</v>
      </c>
      <c r="M19" s="204">
        <v>223594000</v>
      </c>
      <c r="N19" s="204">
        <v>35320438</v>
      </c>
      <c r="O19" s="204">
        <v>266283560</v>
      </c>
      <c r="P19" s="204">
        <v>244183066</v>
      </c>
      <c r="Q19" s="204">
        <v>267524346</v>
      </c>
      <c r="R19" s="261" t="s">
        <v>26</v>
      </c>
      <c r="S19" s="204">
        <f t="shared" si="3"/>
        <v>20589066</v>
      </c>
    </row>
    <row r="20" spans="3:19" ht="75" hidden="1">
      <c r="C20" s="265" t="s">
        <v>17</v>
      </c>
      <c r="D20" s="204">
        <v>47491277.75</v>
      </c>
      <c r="E20" s="204">
        <v>53819475</v>
      </c>
      <c r="F20" s="211"/>
      <c r="G20" s="211"/>
      <c r="H20" s="211"/>
      <c r="I20" s="263" t="s">
        <v>27</v>
      </c>
      <c r="J20" s="204"/>
      <c r="L20" s="265" t="s">
        <v>17</v>
      </c>
      <c r="M20" s="204">
        <v>221055500</v>
      </c>
      <c r="N20" s="204">
        <v>38479080</v>
      </c>
      <c r="O20" s="204">
        <v>263866893.33333299</v>
      </c>
      <c r="P20" s="204">
        <v>242283066</v>
      </c>
      <c r="Q20" s="204">
        <v>265782679.33333299</v>
      </c>
      <c r="R20" s="261" t="s">
        <v>28</v>
      </c>
      <c r="S20" s="204">
        <f t="shared" si="3"/>
        <v>21227566</v>
      </c>
    </row>
    <row r="21" spans="3:19" ht="33" hidden="1" customHeight="1">
      <c r="C21" s="265" t="s">
        <v>19</v>
      </c>
      <c r="D21" s="204">
        <f t="shared" ref="D21:I21" si="4">SUM(D18:D20)</f>
        <v>141453045.09999999</v>
      </c>
      <c r="E21" s="204">
        <f t="shared" si="4"/>
        <v>157394477.38095242</v>
      </c>
      <c r="F21" s="211"/>
      <c r="G21" s="211">
        <f t="shared" si="4"/>
        <v>0</v>
      </c>
      <c r="H21" s="211">
        <f t="shared" si="4"/>
        <v>0</v>
      </c>
      <c r="I21" s="204">
        <f t="shared" si="4"/>
        <v>0</v>
      </c>
      <c r="J21" s="204">
        <f>+E21-D21</f>
        <v>15941432.280952424</v>
      </c>
      <c r="L21" s="265" t="s">
        <v>19</v>
      </c>
      <c r="M21" s="204">
        <f t="shared" ref="M21:R21" si="5">SUM(M18:M20)</f>
        <v>786516000</v>
      </c>
      <c r="N21" s="204">
        <f t="shared" si="5"/>
        <v>118588704</v>
      </c>
      <c r="O21" s="204">
        <f t="shared" si="5"/>
        <v>905817573.33333302</v>
      </c>
      <c r="P21" s="204">
        <f t="shared" si="5"/>
        <v>822673930</v>
      </c>
      <c r="Q21" s="204">
        <f t="shared" si="5"/>
        <v>921958442.33333302</v>
      </c>
      <c r="R21" s="204">
        <f t="shared" si="5"/>
        <v>0</v>
      </c>
      <c r="S21" s="204">
        <f t="shared" si="3"/>
        <v>36157930</v>
      </c>
    </row>
    <row r="22" spans="3:19" ht="33" hidden="1" customHeight="1">
      <c r="C22" s="265" t="s">
        <v>20</v>
      </c>
      <c r="D22" s="210">
        <f>AVERAGE(D18:D20)</f>
        <v>47151015.033333331</v>
      </c>
      <c r="E22" s="210">
        <f>AVERAGE(E18:E20)</f>
        <v>52464825.793650806</v>
      </c>
      <c r="F22" s="212"/>
      <c r="G22" s="212"/>
      <c r="H22" s="204"/>
      <c r="I22" s="204"/>
      <c r="J22" s="210">
        <f>+E22-D22</f>
        <v>5313810.7603174746</v>
      </c>
      <c r="L22" s="265" t="s">
        <v>20</v>
      </c>
      <c r="M22" s="210">
        <f t="shared" ref="M22:Q22" si="6">AVERAGE(M18:M20)</f>
        <v>262172000</v>
      </c>
      <c r="N22" s="204">
        <f t="shared" si="6"/>
        <v>39529568</v>
      </c>
      <c r="O22" s="204">
        <f t="shared" si="6"/>
        <v>301939191.11111099</v>
      </c>
      <c r="P22" s="210">
        <f t="shared" si="6"/>
        <v>274224643.33333331</v>
      </c>
      <c r="Q22" s="204">
        <f t="shared" si="6"/>
        <v>307319480.77777767</v>
      </c>
      <c r="R22" s="204"/>
      <c r="S22" s="210">
        <f t="shared" si="3"/>
        <v>12052643.333333313</v>
      </c>
    </row>
    <row r="23" spans="3:19" hidden="1"/>
    <row r="24" spans="3:19" ht="30" hidden="1">
      <c r="C24" s="207" t="s">
        <v>29</v>
      </c>
      <c r="D24" s="262" t="s">
        <v>3</v>
      </c>
      <c r="E24" s="262" t="s">
        <v>4</v>
      </c>
      <c r="F24" s="262"/>
      <c r="G24" s="262" t="s">
        <v>6</v>
      </c>
      <c r="H24" s="262" t="s">
        <v>7</v>
      </c>
      <c r="I24" s="262" t="s">
        <v>8</v>
      </c>
      <c r="J24" s="262" t="s">
        <v>9</v>
      </c>
      <c r="L24" s="207" t="s">
        <v>30</v>
      </c>
      <c r="M24" s="262" t="s">
        <v>3</v>
      </c>
      <c r="N24" s="262" t="s">
        <v>4</v>
      </c>
      <c r="O24" s="262" t="s">
        <v>5</v>
      </c>
      <c r="P24" s="262" t="s">
        <v>6</v>
      </c>
      <c r="Q24" s="262" t="s">
        <v>7</v>
      </c>
      <c r="R24" s="262" t="s">
        <v>8</v>
      </c>
      <c r="S24" s="262" t="s">
        <v>9</v>
      </c>
    </row>
    <row r="25" spans="3:19" ht="60" hidden="1">
      <c r="C25" s="265" t="s">
        <v>10</v>
      </c>
      <c r="D25" s="204">
        <v>45143446.350000001</v>
      </c>
      <c r="E25" s="204">
        <v>46298750</v>
      </c>
      <c r="F25" s="211"/>
      <c r="G25" s="211"/>
      <c r="H25" s="211"/>
      <c r="I25" s="263" t="s">
        <v>23</v>
      </c>
      <c r="J25" s="204"/>
      <c r="L25" s="265" t="s">
        <v>10</v>
      </c>
      <c r="M25" s="211"/>
      <c r="N25" s="204">
        <v>416561500</v>
      </c>
      <c r="O25" s="211"/>
      <c r="P25" s="204">
        <v>322478034</v>
      </c>
      <c r="Q25" s="211"/>
      <c r="R25" s="261" t="s">
        <v>24</v>
      </c>
      <c r="S25" s="204"/>
    </row>
    <row r="26" spans="3:19" ht="120" hidden="1">
      <c r="C26" s="265" t="s">
        <v>15</v>
      </c>
      <c r="D26" s="204">
        <v>51558321</v>
      </c>
      <c r="E26" s="204">
        <v>53298252.380952403</v>
      </c>
      <c r="F26" s="211"/>
      <c r="G26" s="211"/>
      <c r="H26" s="211"/>
      <c r="I26" s="263" t="s">
        <v>25</v>
      </c>
      <c r="J26" s="204"/>
      <c r="L26" s="265" t="s">
        <v>15</v>
      </c>
      <c r="M26" s="211"/>
      <c r="N26" s="204">
        <v>289918200</v>
      </c>
      <c r="O26" s="211"/>
      <c r="P26" s="204">
        <v>235491398</v>
      </c>
      <c r="Q26" s="211"/>
      <c r="R26" s="261" t="s">
        <v>26</v>
      </c>
      <c r="S26" s="204"/>
    </row>
    <row r="27" spans="3:19" ht="75" hidden="1">
      <c r="C27" s="265" t="s">
        <v>17</v>
      </c>
      <c r="D27" s="204">
        <v>48861277.75</v>
      </c>
      <c r="E27" s="204">
        <v>51260100</v>
      </c>
      <c r="F27" s="211"/>
      <c r="G27" s="211"/>
      <c r="H27" s="211"/>
      <c r="I27" s="263" t="s">
        <v>27</v>
      </c>
      <c r="J27" s="204"/>
      <c r="L27" s="265" t="s">
        <v>17</v>
      </c>
      <c r="M27" s="211"/>
      <c r="N27" s="204">
        <v>286769366.66666698</v>
      </c>
      <c r="O27" s="211"/>
      <c r="P27" s="204">
        <v>233541398</v>
      </c>
      <c r="Q27" s="211"/>
      <c r="R27" s="261" t="s">
        <v>28</v>
      </c>
      <c r="S27" s="204"/>
    </row>
    <row r="28" spans="3:19" ht="30" hidden="1" customHeight="1">
      <c r="C28" s="265" t="s">
        <v>19</v>
      </c>
      <c r="D28" s="204">
        <f t="shared" ref="D28:J28" si="7">SUM(D25:D27)</f>
        <v>145563045.09999999</v>
      </c>
      <c r="E28" s="204">
        <f t="shared" si="7"/>
        <v>150857102.38095242</v>
      </c>
      <c r="F28" s="211"/>
      <c r="G28" s="211">
        <f t="shared" si="7"/>
        <v>0</v>
      </c>
      <c r="H28" s="211">
        <f t="shared" si="7"/>
        <v>0</v>
      </c>
      <c r="I28" s="204">
        <f t="shared" si="7"/>
        <v>0</v>
      </c>
      <c r="J28" s="204">
        <f t="shared" si="7"/>
        <v>0</v>
      </c>
      <c r="L28" s="265" t="s">
        <v>19</v>
      </c>
      <c r="M28" s="211">
        <f t="shared" ref="M28:S28" si="8">SUM(M25:M27)</f>
        <v>0</v>
      </c>
      <c r="N28" s="204">
        <f t="shared" si="8"/>
        <v>993249066.66666698</v>
      </c>
      <c r="O28" s="211">
        <f t="shared" si="8"/>
        <v>0</v>
      </c>
      <c r="P28" s="204">
        <f t="shared" si="8"/>
        <v>791510830</v>
      </c>
      <c r="Q28" s="211">
        <f t="shared" si="8"/>
        <v>0</v>
      </c>
      <c r="R28" s="204">
        <f t="shared" si="8"/>
        <v>0</v>
      </c>
      <c r="S28" s="204">
        <f t="shared" si="8"/>
        <v>0</v>
      </c>
    </row>
    <row r="29" spans="3:19" ht="30" hidden="1" customHeight="1">
      <c r="C29" s="265" t="s">
        <v>20</v>
      </c>
      <c r="D29" s="210">
        <f>AVERAGE(D25:D27)</f>
        <v>48521015.033333331</v>
      </c>
      <c r="E29" s="210">
        <f>AVERAGE(E25:E27)</f>
        <v>50285700.793650806</v>
      </c>
      <c r="F29" s="212"/>
      <c r="G29" s="212"/>
      <c r="H29" s="204"/>
      <c r="I29" s="204"/>
      <c r="J29" s="210">
        <f>+E29-D29</f>
        <v>1764685.7603174746</v>
      </c>
      <c r="L29" s="265" t="s">
        <v>20</v>
      </c>
      <c r="M29" s="204"/>
      <c r="N29" s="204">
        <f>AVERAGE(N25:N27)</f>
        <v>331083022.22222233</v>
      </c>
      <c r="O29" s="204"/>
      <c r="P29" s="210">
        <f>AVERAGE(P25:P27)</f>
        <v>263836943.33333334</v>
      </c>
      <c r="Q29" s="204"/>
      <c r="R29" s="204"/>
      <c r="S29" s="204">
        <f>+P29-M29</f>
        <v>263836943.33333334</v>
      </c>
    </row>
    <row r="30" spans="3:19" hidden="1"/>
    <row r="31" spans="3:19" ht="34.5" hidden="1" customHeight="1">
      <c r="C31" s="207" t="s">
        <v>31</v>
      </c>
      <c r="D31" s="262" t="s">
        <v>32</v>
      </c>
      <c r="E31" s="262" t="s">
        <v>4</v>
      </c>
      <c r="F31" s="262"/>
      <c r="G31" s="262" t="s">
        <v>6</v>
      </c>
      <c r="H31" s="262" t="s">
        <v>7</v>
      </c>
      <c r="I31" s="262" t="s">
        <v>8</v>
      </c>
      <c r="J31" s="262" t="s">
        <v>9</v>
      </c>
      <c r="L31" s="207" t="s">
        <v>33</v>
      </c>
      <c r="M31" s="262" t="s">
        <v>3</v>
      </c>
      <c r="N31" s="262" t="s">
        <v>4</v>
      </c>
      <c r="O31" s="262" t="s">
        <v>5</v>
      </c>
      <c r="P31" s="262" t="s">
        <v>6</v>
      </c>
      <c r="Q31" s="262" t="s">
        <v>7</v>
      </c>
      <c r="R31" s="262" t="s">
        <v>8</v>
      </c>
      <c r="S31" s="262" t="s">
        <v>9</v>
      </c>
    </row>
    <row r="32" spans="3:19" ht="34.5" hidden="1" customHeight="1">
      <c r="C32" s="265" t="s">
        <v>10</v>
      </c>
      <c r="D32" s="211"/>
      <c r="E32" s="204">
        <v>47837144.444444403</v>
      </c>
      <c r="F32" s="211"/>
      <c r="G32" s="211"/>
      <c r="H32" s="211"/>
      <c r="I32" s="285" t="s">
        <v>34</v>
      </c>
      <c r="J32" s="204"/>
      <c r="L32" s="265" t="s">
        <v>10</v>
      </c>
      <c r="M32" s="211"/>
      <c r="N32" s="204">
        <v>47998800</v>
      </c>
      <c r="O32" s="204">
        <v>39787550</v>
      </c>
      <c r="P32" s="204">
        <v>32400823.846153799</v>
      </c>
      <c r="Q32" s="204">
        <v>37692201</v>
      </c>
      <c r="R32" s="204"/>
      <c r="S32" s="204"/>
    </row>
    <row r="33" spans="2:19" ht="34.5" hidden="1" customHeight="1">
      <c r="C33" s="265" t="s">
        <v>15</v>
      </c>
      <c r="D33" s="211"/>
      <c r="E33" s="204">
        <v>52679761.538461603</v>
      </c>
      <c r="F33" s="211"/>
      <c r="G33" s="211"/>
      <c r="H33" s="211"/>
      <c r="I33" s="286"/>
      <c r="J33" s="204"/>
      <c r="L33" s="265" t="s">
        <v>15</v>
      </c>
      <c r="M33" s="211"/>
      <c r="N33" s="204">
        <v>52473500</v>
      </c>
      <c r="O33" s="204">
        <v>47142080</v>
      </c>
      <c r="P33" s="204">
        <v>37370924.545454502</v>
      </c>
      <c r="Q33" s="204">
        <v>41509129.5</v>
      </c>
      <c r="R33" s="204"/>
      <c r="S33" s="204"/>
    </row>
    <row r="34" spans="2:19" ht="34.5" hidden="1" customHeight="1">
      <c r="C34" s="265" t="s">
        <v>17</v>
      </c>
      <c r="D34" s="211"/>
      <c r="E34" s="204">
        <v>50569600</v>
      </c>
      <c r="F34" s="211"/>
      <c r="G34" s="211"/>
      <c r="H34" s="211"/>
      <c r="I34" s="287"/>
      <c r="J34" s="204"/>
      <c r="L34" s="265" t="s">
        <v>17</v>
      </c>
      <c r="M34" s="211"/>
      <c r="N34" s="204">
        <v>51028000</v>
      </c>
      <c r="O34" s="204">
        <v>44867260</v>
      </c>
      <c r="P34" s="204">
        <v>36015470</v>
      </c>
      <c r="Q34" s="204">
        <v>39358463</v>
      </c>
      <c r="R34" s="204"/>
      <c r="S34" s="204"/>
    </row>
    <row r="35" spans="2:19" ht="34.5" hidden="1" customHeight="1">
      <c r="C35" s="265" t="s">
        <v>19</v>
      </c>
      <c r="D35" s="211">
        <f t="shared" ref="D35:J35" si="9">SUM(D32:D34)</f>
        <v>0</v>
      </c>
      <c r="E35" s="204">
        <f t="shared" si="9"/>
        <v>151086505.98290601</v>
      </c>
      <c r="F35" s="211"/>
      <c r="G35" s="211">
        <f t="shared" si="9"/>
        <v>0</v>
      </c>
      <c r="H35" s="211">
        <f t="shared" si="9"/>
        <v>0</v>
      </c>
      <c r="I35" s="204">
        <f t="shared" si="9"/>
        <v>0</v>
      </c>
      <c r="J35" s="204">
        <f t="shared" si="9"/>
        <v>0</v>
      </c>
      <c r="L35" s="265" t="s">
        <v>19</v>
      </c>
      <c r="M35" s="211">
        <f t="shared" ref="M35:R35" si="10">SUM(M32:M34)</f>
        <v>0</v>
      </c>
      <c r="N35" s="204">
        <f t="shared" si="10"/>
        <v>151500300</v>
      </c>
      <c r="O35" s="204">
        <f t="shared" si="10"/>
        <v>131796890</v>
      </c>
      <c r="P35" s="204">
        <f t="shared" si="10"/>
        <v>105787218.3916083</v>
      </c>
      <c r="Q35" s="204">
        <f t="shared" si="10"/>
        <v>118559793.5</v>
      </c>
      <c r="R35" s="204">
        <f t="shared" si="10"/>
        <v>0</v>
      </c>
      <c r="S35" s="204"/>
    </row>
    <row r="36" spans="2:19" ht="34.5" hidden="1" customHeight="1">
      <c r="C36" s="265" t="s">
        <v>20</v>
      </c>
      <c r="D36" s="204"/>
      <c r="E36" s="210">
        <f>AVERAGE(E32:E34)</f>
        <v>50362168.660968669</v>
      </c>
      <c r="F36" s="204"/>
      <c r="G36" s="204"/>
      <c r="H36" s="204"/>
      <c r="I36" s="204"/>
      <c r="J36" s="204"/>
      <c r="L36" s="265" t="s">
        <v>20</v>
      </c>
      <c r="M36" s="204"/>
      <c r="N36" s="204">
        <f t="shared" ref="N36:Q36" si="11">AVERAGE(N32:N34)</f>
        <v>50500100</v>
      </c>
      <c r="O36" s="204">
        <f t="shared" si="11"/>
        <v>43932296.666666664</v>
      </c>
      <c r="P36" s="210">
        <f t="shared" si="11"/>
        <v>35262406.130536102</v>
      </c>
      <c r="Q36" s="204">
        <f t="shared" si="11"/>
        <v>39519931.166666664</v>
      </c>
      <c r="R36" s="204"/>
      <c r="S36" s="204">
        <f>+P36-M36</f>
        <v>35262406.130536102</v>
      </c>
    </row>
    <row r="37" spans="2:19" hidden="1"/>
    <row r="38" spans="2:19" ht="37.5" hidden="1" customHeight="1">
      <c r="C38" s="207" t="s">
        <v>35</v>
      </c>
      <c r="D38" s="262" t="s">
        <v>32</v>
      </c>
      <c r="E38" s="262" t="s">
        <v>4</v>
      </c>
      <c r="F38" s="262"/>
      <c r="G38" s="262" t="s">
        <v>6</v>
      </c>
      <c r="H38" s="262" t="s">
        <v>7</v>
      </c>
      <c r="I38" s="262" t="s">
        <v>8</v>
      </c>
      <c r="J38" s="262" t="s">
        <v>9</v>
      </c>
      <c r="L38" s="207" t="s">
        <v>36</v>
      </c>
      <c r="M38" s="262" t="s">
        <v>3</v>
      </c>
      <c r="N38" s="262" t="s">
        <v>4</v>
      </c>
      <c r="O38" s="262" t="s">
        <v>5</v>
      </c>
      <c r="P38" s="262" t="s">
        <v>6</v>
      </c>
      <c r="Q38" s="262" t="s">
        <v>7</v>
      </c>
      <c r="R38" s="262" t="s">
        <v>8</v>
      </c>
      <c r="S38" s="262" t="s">
        <v>9</v>
      </c>
    </row>
    <row r="39" spans="2:19" ht="37.5" hidden="1" customHeight="1">
      <c r="C39" s="265" t="s">
        <v>10</v>
      </c>
      <c r="D39" s="211"/>
      <c r="E39" s="204">
        <v>44779033.333333299</v>
      </c>
      <c r="F39" s="211"/>
      <c r="G39" s="204">
        <v>43140634.306172803</v>
      </c>
      <c r="H39" s="211"/>
      <c r="I39" s="288" t="s">
        <v>37</v>
      </c>
      <c r="J39" s="204"/>
      <c r="L39" s="265" t="s">
        <v>10</v>
      </c>
      <c r="M39" s="211"/>
      <c r="N39" s="204">
        <v>48954800</v>
      </c>
      <c r="O39" s="211"/>
      <c r="P39" s="211"/>
      <c r="Q39" s="211"/>
      <c r="R39" s="204"/>
      <c r="S39" s="204"/>
    </row>
    <row r="40" spans="2:19" ht="37.5" hidden="1" customHeight="1">
      <c r="C40" s="265" t="s">
        <v>15</v>
      </c>
      <c r="D40" s="211"/>
      <c r="E40" s="204">
        <v>49604300</v>
      </c>
      <c r="F40" s="211"/>
      <c r="G40" s="204">
        <v>48544446.959259301</v>
      </c>
      <c r="H40" s="211"/>
      <c r="I40" s="289"/>
      <c r="J40" s="204"/>
      <c r="L40" s="265" t="s">
        <v>15</v>
      </c>
      <c r="M40" s="211"/>
      <c r="N40" s="204">
        <v>53734500</v>
      </c>
      <c r="O40" s="211"/>
      <c r="P40" s="211"/>
      <c r="Q40" s="211"/>
      <c r="R40" s="204"/>
      <c r="S40" s="204"/>
    </row>
    <row r="41" spans="2:19" ht="37.5" hidden="1" customHeight="1">
      <c r="C41" s="265" t="s">
        <v>17</v>
      </c>
      <c r="D41" s="211"/>
      <c r="E41" s="204">
        <v>47565933.333333299</v>
      </c>
      <c r="F41" s="211"/>
      <c r="G41" s="204">
        <v>46842024.918518499</v>
      </c>
      <c r="H41" s="211"/>
      <c r="I41" s="290"/>
      <c r="J41" s="204"/>
      <c r="L41" s="265" t="s">
        <v>17</v>
      </c>
      <c r="M41" s="211"/>
      <c r="N41" s="204">
        <v>52290000</v>
      </c>
      <c r="O41" s="211"/>
      <c r="P41" s="211"/>
      <c r="Q41" s="211"/>
      <c r="R41" s="204"/>
      <c r="S41" s="204"/>
    </row>
    <row r="42" spans="2:19" ht="37.5" hidden="1" customHeight="1">
      <c r="C42" s="265" t="s">
        <v>19</v>
      </c>
      <c r="D42" s="211">
        <f t="shared" ref="D42:J42" si="12">SUM(D39:D41)</f>
        <v>0</v>
      </c>
      <c r="E42" s="204">
        <f t="shared" si="12"/>
        <v>141949266.6666666</v>
      </c>
      <c r="F42" s="211"/>
      <c r="G42" s="204">
        <f t="shared" si="12"/>
        <v>138527106.1839506</v>
      </c>
      <c r="H42" s="211">
        <f t="shared" si="12"/>
        <v>0</v>
      </c>
      <c r="I42" s="204">
        <f t="shared" si="12"/>
        <v>0</v>
      </c>
      <c r="J42" s="204">
        <f t="shared" si="12"/>
        <v>0</v>
      </c>
      <c r="L42" s="265" t="s">
        <v>19</v>
      </c>
      <c r="M42" s="211">
        <f t="shared" ref="M42:S42" si="13">SUM(M39:M41)</f>
        <v>0</v>
      </c>
      <c r="N42" s="204">
        <f t="shared" si="13"/>
        <v>154979300</v>
      </c>
      <c r="O42" s="211">
        <f t="shared" si="13"/>
        <v>0</v>
      </c>
      <c r="P42" s="211">
        <f t="shared" si="13"/>
        <v>0</v>
      </c>
      <c r="Q42" s="211">
        <f t="shared" si="13"/>
        <v>0</v>
      </c>
      <c r="R42" s="204">
        <f t="shared" si="13"/>
        <v>0</v>
      </c>
      <c r="S42" s="204">
        <f t="shared" si="13"/>
        <v>0</v>
      </c>
    </row>
    <row r="43" spans="2:19" ht="37.5" hidden="1" customHeight="1">
      <c r="C43" s="265" t="s">
        <v>20</v>
      </c>
      <c r="D43" s="204"/>
      <c r="E43" s="210">
        <f>AVERAGE(E39:E41)</f>
        <v>47316422.222222202</v>
      </c>
      <c r="F43" s="204"/>
      <c r="G43" s="210">
        <f>AVERAGE(G39:G41)</f>
        <v>46175702.06131687</v>
      </c>
      <c r="H43" s="204"/>
      <c r="I43" s="204"/>
      <c r="J43" s="204"/>
      <c r="L43" s="265" t="s">
        <v>20</v>
      </c>
      <c r="M43" s="204"/>
      <c r="N43" s="210">
        <f>AVERAGE(N39:N41)</f>
        <v>51659766.666666664</v>
      </c>
      <c r="O43" s="204"/>
      <c r="P43" s="204"/>
      <c r="Q43" s="204"/>
      <c r="R43" s="204"/>
      <c r="S43" s="204">
        <f>+P43-M43</f>
        <v>0</v>
      </c>
    </row>
    <row r="44" spans="2:19" hidden="1"/>
    <row r="45" spans="2:19" hidden="1"/>
    <row r="48" spans="2:19" ht="24" customHeight="1">
      <c r="B48" s="275" t="s">
        <v>38</v>
      </c>
      <c r="C48" s="274" t="s">
        <v>39</v>
      </c>
      <c r="D48" s="274" t="s">
        <v>40</v>
      </c>
      <c r="E48" s="274" t="s">
        <v>41</v>
      </c>
      <c r="F48" s="268" t="s">
        <v>3</v>
      </c>
      <c r="G48" s="269"/>
      <c r="H48" s="268" t="s">
        <v>42</v>
      </c>
      <c r="I48" s="269"/>
      <c r="J48" s="274" t="s">
        <v>43</v>
      </c>
      <c r="K48" s="274" t="s">
        <v>8</v>
      </c>
      <c r="L48" s="274"/>
      <c r="M48" s="274"/>
    </row>
    <row r="49" spans="2:16" ht="24" customHeight="1">
      <c r="B49" s="275"/>
      <c r="C49" s="274"/>
      <c r="D49" s="274"/>
      <c r="E49" s="274"/>
      <c r="F49" s="264" t="s">
        <v>1</v>
      </c>
      <c r="G49" s="258" t="s">
        <v>44</v>
      </c>
      <c r="H49" s="258" t="s">
        <v>1</v>
      </c>
      <c r="I49" s="258" t="s">
        <v>44</v>
      </c>
      <c r="J49" s="274"/>
      <c r="K49" s="274"/>
      <c r="L49" s="274"/>
      <c r="M49" s="274"/>
    </row>
    <row r="50" spans="2:16" ht="59.25" customHeight="1">
      <c r="B50" s="265" t="s">
        <v>4</v>
      </c>
      <c r="C50" s="265" t="s">
        <v>45</v>
      </c>
      <c r="D50" s="265" t="s">
        <v>10</v>
      </c>
      <c r="E50" s="266">
        <v>1</v>
      </c>
      <c r="F50" s="202">
        <f>Lexus!E16</f>
        <v>85121795</v>
      </c>
      <c r="G50" s="202">
        <f t="shared" ref="G50:G53" si="14">+F50*E50</f>
        <v>85121795</v>
      </c>
      <c r="H50" s="202">
        <f>+Lexus!H16</f>
        <v>76154200</v>
      </c>
      <c r="I50" s="202">
        <f t="shared" ref="I50:I53" si="15">+H50*E50</f>
        <v>76154200</v>
      </c>
      <c r="J50" s="212">
        <f t="shared" ref="J50:J53" si="16">+I50-G50</f>
        <v>-8967595</v>
      </c>
      <c r="K50" s="270" t="s">
        <v>46</v>
      </c>
      <c r="L50" s="271"/>
      <c r="M50" s="271"/>
    </row>
    <row r="51" spans="2:16" ht="31.5" customHeight="1">
      <c r="B51" s="276" t="s">
        <v>4</v>
      </c>
      <c r="C51" s="279" t="s">
        <v>47</v>
      </c>
      <c r="D51" s="265" t="s">
        <v>10</v>
      </c>
      <c r="E51" s="266">
        <v>1</v>
      </c>
      <c r="F51" s="202">
        <f>'Camry 2.5G'!E16</f>
        <v>42471157</v>
      </c>
      <c r="G51" s="202">
        <f t="shared" si="14"/>
        <v>42471157</v>
      </c>
      <c r="H51" s="202">
        <f>'Camry 2.5G'!E31</f>
        <v>40682600</v>
      </c>
      <c r="I51" s="202">
        <f t="shared" si="15"/>
        <v>40682600</v>
      </c>
      <c r="J51" s="212">
        <f t="shared" si="16"/>
        <v>-1788557</v>
      </c>
      <c r="K51" s="270" t="s">
        <v>14</v>
      </c>
      <c r="L51" s="271"/>
      <c r="M51" s="271"/>
    </row>
    <row r="52" spans="2:16" ht="31.5" customHeight="1">
      <c r="B52" s="277"/>
      <c r="C52" s="280"/>
      <c r="D52" s="265" t="s">
        <v>15</v>
      </c>
      <c r="E52" s="266">
        <v>1</v>
      </c>
      <c r="F52" s="202">
        <f>'Camry 2.5G'!H16</f>
        <v>45837757</v>
      </c>
      <c r="G52" s="202">
        <f t="shared" si="14"/>
        <v>45837757</v>
      </c>
      <c r="H52" s="202">
        <f>'Camry 2.5G'!H31</f>
        <v>45223800</v>
      </c>
      <c r="I52" s="202">
        <f t="shared" si="15"/>
        <v>45223800</v>
      </c>
      <c r="J52" s="212">
        <f t="shared" si="16"/>
        <v>-613957</v>
      </c>
      <c r="K52" s="270" t="s">
        <v>16</v>
      </c>
      <c r="L52" s="271"/>
      <c r="M52" s="271"/>
    </row>
    <row r="53" spans="2:16" ht="31.5" customHeight="1">
      <c r="B53" s="277"/>
      <c r="C53" s="280"/>
      <c r="D53" s="265" t="s">
        <v>17</v>
      </c>
      <c r="E53" s="266">
        <v>1</v>
      </c>
      <c r="F53" s="202">
        <f>'Camry 2.5G'!K16</f>
        <v>44133157</v>
      </c>
      <c r="G53" s="202">
        <f t="shared" si="14"/>
        <v>44133157</v>
      </c>
      <c r="H53" s="202">
        <f>'Camry 2.5G'!K31</f>
        <v>42965200</v>
      </c>
      <c r="I53" s="202">
        <f t="shared" si="15"/>
        <v>42965200</v>
      </c>
      <c r="J53" s="212">
        <f t="shared" si="16"/>
        <v>-1167957</v>
      </c>
      <c r="K53" s="271"/>
      <c r="L53" s="271"/>
      <c r="M53" s="271"/>
    </row>
    <row r="54" spans="2:16" ht="24" customHeight="1">
      <c r="B54" s="278"/>
      <c r="C54" s="281"/>
      <c r="D54" s="194" t="s">
        <v>48</v>
      </c>
      <c r="E54" s="178">
        <f t="shared" ref="E54:J54" si="17">SUM(E51:E53)</f>
        <v>3</v>
      </c>
      <c r="F54" s="214">
        <f t="shared" si="17"/>
        <v>132442071</v>
      </c>
      <c r="G54" s="214">
        <f t="shared" si="17"/>
        <v>132442071</v>
      </c>
      <c r="H54" s="214">
        <f t="shared" si="17"/>
        <v>128871600</v>
      </c>
      <c r="I54" s="214">
        <f t="shared" si="17"/>
        <v>128871600</v>
      </c>
      <c r="J54" s="217">
        <f t="shared" si="17"/>
        <v>-3570471</v>
      </c>
      <c r="K54" s="271"/>
      <c r="L54" s="271"/>
      <c r="M54" s="271"/>
    </row>
    <row r="55" spans="2:16" ht="31.5" customHeight="1">
      <c r="B55" s="279" t="s">
        <v>6</v>
      </c>
      <c r="C55" s="279" t="s">
        <v>47</v>
      </c>
      <c r="D55" s="265" t="s">
        <v>10</v>
      </c>
      <c r="E55" s="266">
        <v>1</v>
      </c>
      <c r="F55" s="202">
        <f t="shared" ref="F55:F57" si="18">F51</f>
        <v>42471157</v>
      </c>
      <c r="G55" s="202">
        <f t="shared" ref="G55:G57" si="19">+F55*E55</f>
        <v>42471157</v>
      </c>
      <c r="H55" s="202">
        <f>'Camry 2.5G'!E60</f>
        <v>33197822</v>
      </c>
      <c r="I55" s="202">
        <f t="shared" ref="I55:I57" si="20">+H55*E55</f>
        <v>33197822</v>
      </c>
      <c r="J55" s="212">
        <f t="shared" ref="J55:J57" si="21">+I55-G55</f>
        <v>-9273335</v>
      </c>
      <c r="K55" s="270" t="s">
        <v>14</v>
      </c>
      <c r="L55" s="271"/>
      <c r="M55" s="271"/>
    </row>
    <row r="56" spans="2:16" ht="31.5" customHeight="1">
      <c r="B56" s="280"/>
      <c r="C56" s="280"/>
      <c r="D56" s="265" t="s">
        <v>15</v>
      </c>
      <c r="E56" s="266">
        <v>1</v>
      </c>
      <c r="F56" s="202">
        <f t="shared" si="18"/>
        <v>45837757</v>
      </c>
      <c r="G56" s="202">
        <f t="shared" si="19"/>
        <v>45837757</v>
      </c>
      <c r="H56" s="202">
        <f>'Camry 2.5G'!H60</f>
        <v>38273422</v>
      </c>
      <c r="I56" s="202">
        <f t="shared" si="20"/>
        <v>38273422</v>
      </c>
      <c r="J56" s="212">
        <f t="shared" si="21"/>
        <v>-7564335</v>
      </c>
      <c r="K56" s="270" t="s">
        <v>16</v>
      </c>
      <c r="L56" s="271"/>
      <c r="M56" s="271"/>
    </row>
    <row r="57" spans="2:16" ht="31.5" customHeight="1">
      <c r="B57" s="280"/>
      <c r="C57" s="280"/>
      <c r="D57" s="265" t="s">
        <v>17</v>
      </c>
      <c r="E57" s="266">
        <v>1</v>
      </c>
      <c r="F57" s="202">
        <f t="shared" si="18"/>
        <v>44133157</v>
      </c>
      <c r="G57" s="202">
        <f t="shared" si="19"/>
        <v>44133157</v>
      </c>
      <c r="H57" s="202">
        <f>'Camry 2.5G'!K60</f>
        <v>35764522</v>
      </c>
      <c r="I57" s="202">
        <f t="shared" si="20"/>
        <v>35764522</v>
      </c>
      <c r="J57" s="212">
        <f t="shared" si="21"/>
        <v>-8368635</v>
      </c>
      <c r="K57" s="271"/>
      <c r="L57" s="271"/>
      <c r="M57" s="271"/>
    </row>
    <row r="58" spans="2:16" ht="31.5" customHeight="1">
      <c r="B58" s="281"/>
      <c r="C58" s="281"/>
      <c r="D58" s="194" t="s">
        <v>48</v>
      </c>
      <c r="E58" s="178">
        <f t="shared" ref="E58:J58" si="22">SUM(E55:E57)</f>
        <v>3</v>
      </c>
      <c r="F58" s="214">
        <f t="shared" si="22"/>
        <v>132442071</v>
      </c>
      <c r="G58" s="214">
        <f t="shared" si="22"/>
        <v>132442071</v>
      </c>
      <c r="H58" s="214">
        <f t="shared" si="22"/>
        <v>107235766</v>
      </c>
      <c r="I58" s="214">
        <f t="shared" si="22"/>
        <v>107235766</v>
      </c>
      <c r="J58" s="217">
        <f t="shared" si="22"/>
        <v>-25206305</v>
      </c>
      <c r="K58" s="272" t="s">
        <v>49</v>
      </c>
      <c r="L58" s="273"/>
      <c r="M58" s="273"/>
      <c r="N58" s="21">
        <f>J54-J58</f>
        <v>21635834</v>
      </c>
    </row>
    <row r="59" spans="2:16" ht="27" customHeight="1">
      <c r="B59" s="279" t="s">
        <v>6</v>
      </c>
      <c r="C59" s="279" t="s">
        <v>50</v>
      </c>
      <c r="D59" s="265" t="s">
        <v>10</v>
      </c>
      <c r="E59" s="266">
        <v>11</v>
      </c>
      <c r="F59" s="202">
        <f t="shared" ref="F59:F63" si="23">+G59/E59</f>
        <v>31078772.727272727</v>
      </c>
      <c r="G59" s="202">
        <f>'Innova '!E16</f>
        <v>341866500</v>
      </c>
      <c r="H59" s="202">
        <f t="shared" ref="H59:H63" si="24">+I59/E59</f>
        <v>30564345.272727273</v>
      </c>
      <c r="I59" s="202">
        <f>'Innova '!T78</f>
        <v>336207798</v>
      </c>
      <c r="J59" s="212">
        <f t="shared" ref="J59:J63" si="25">+I59-G59</f>
        <v>-5658702</v>
      </c>
      <c r="K59" s="270" t="s">
        <v>24</v>
      </c>
      <c r="L59" s="271"/>
      <c r="M59" s="271"/>
      <c r="N59" s="133">
        <f>N58/23000</f>
        <v>940.68843478260874</v>
      </c>
      <c r="O59">
        <f t="shared" ref="O59:O62" si="26">+F59/4000</f>
        <v>7769.693181818182</v>
      </c>
      <c r="P59">
        <f t="shared" ref="P59:P62" si="27">+H59/4300</f>
        <v>7107.9872727272732</v>
      </c>
    </row>
    <row r="60" spans="2:16" ht="28.5" customHeight="1">
      <c r="B60" s="280"/>
      <c r="C60" s="280"/>
      <c r="D60" s="265" t="s">
        <v>15</v>
      </c>
      <c r="E60" s="266">
        <v>7</v>
      </c>
      <c r="F60" s="202">
        <f t="shared" si="23"/>
        <v>31942000</v>
      </c>
      <c r="G60" s="202">
        <f>'Innova '!H16</f>
        <v>223594000</v>
      </c>
      <c r="H60" s="202">
        <f t="shared" si="24"/>
        <v>34883295.142857142</v>
      </c>
      <c r="I60" s="202">
        <f>'Innova '!W78</f>
        <v>244183066</v>
      </c>
      <c r="J60" s="212">
        <f t="shared" si="25"/>
        <v>20589066</v>
      </c>
      <c r="K60" s="291" t="s">
        <v>135</v>
      </c>
      <c r="L60" s="292"/>
      <c r="M60" s="293"/>
      <c r="N60" s="22" t="s">
        <v>52</v>
      </c>
      <c r="O60">
        <f t="shared" si="26"/>
        <v>7985.5</v>
      </c>
      <c r="P60">
        <f t="shared" si="27"/>
        <v>8112.3942192691029</v>
      </c>
    </row>
    <row r="61" spans="2:16" ht="28.5" customHeight="1">
      <c r="B61" s="280"/>
      <c r="C61" s="280"/>
      <c r="D61" s="215" t="s">
        <v>17</v>
      </c>
      <c r="E61" s="266">
        <v>1</v>
      </c>
      <c r="F61" s="202">
        <f t="shared" si="23"/>
        <v>44789186</v>
      </c>
      <c r="G61" s="202">
        <f>'Innova '!E32</f>
        <v>44789186</v>
      </c>
      <c r="H61" s="202">
        <f t="shared" si="24"/>
        <v>35320438</v>
      </c>
      <c r="I61" s="202">
        <f>'Innova '!H32</f>
        <v>35320438</v>
      </c>
      <c r="J61" s="212">
        <f t="shared" si="25"/>
        <v>-9468748</v>
      </c>
      <c r="K61" s="294"/>
      <c r="L61" s="295"/>
      <c r="M61" s="296"/>
      <c r="N61" s="22"/>
      <c r="O61">
        <f t="shared" si="26"/>
        <v>11197.2965</v>
      </c>
      <c r="P61">
        <f t="shared" si="27"/>
        <v>8214.0553488372097</v>
      </c>
    </row>
    <row r="62" spans="2:16" ht="28.5" customHeight="1">
      <c r="B62" s="280"/>
      <c r="C62" s="281"/>
      <c r="D62" s="265" t="s">
        <v>17</v>
      </c>
      <c r="E62" s="266">
        <v>7</v>
      </c>
      <c r="F62" s="202">
        <f t="shared" si="23"/>
        <v>31579357.142857142</v>
      </c>
      <c r="G62" s="202">
        <f>'Innova '!K16</f>
        <v>221055500</v>
      </c>
      <c r="H62" s="202">
        <f t="shared" si="24"/>
        <v>34611866.571428575</v>
      </c>
      <c r="I62" s="202">
        <f>'Innova '!Z78</f>
        <v>242283066</v>
      </c>
      <c r="J62" s="212">
        <f t="shared" si="25"/>
        <v>21227566</v>
      </c>
      <c r="K62" s="297"/>
      <c r="L62" s="298"/>
      <c r="M62" s="299"/>
      <c r="O62">
        <f t="shared" si="26"/>
        <v>7894.8392857142853</v>
      </c>
      <c r="P62">
        <f t="shared" si="27"/>
        <v>8049.2712956810637</v>
      </c>
    </row>
    <row r="63" spans="2:16" ht="37.5" customHeight="1">
      <c r="B63" s="280"/>
      <c r="C63" s="267" t="s">
        <v>53</v>
      </c>
      <c r="D63" s="265" t="s">
        <v>15</v>
      </c>
      <c r="E63" s="266">
        <v>1</v>
      </c>
      <c r="F63" s="202">
        <f t="shared" si="23"/>
        <v>44977000</v>
      </c>
      <c r="G63" s="202">
        <f>'Innova '!N16</f>
        <v>44977000</v>
      </c>
      <c r="H63" s="202">
        <f t="shared" si="24"/>
        <v>41645677.777777798</v>
      </c>
      <c r="I63" s="202">
        <f>'Innova '!AC78</f>
        <v>41645677.777777798</v>
      </c>
      <c r="J63" s="212">
        <f t="shared" si="25"/>
        <v>-3331322.2222222015</v>
      </c>
      <c r="K63" s="270" t="s">
        <v>54</v>
      </c>
      <c r="L63" s="271"/>
      <c r="M63" s="271"/>
      <c r="O63">
        <f>+F63/2600</f>
        <v>17298.846153846152</v>
      </c>
      <c r="P63">
        <f>+H63/4500</f>
        <v>9254.5950617283997</v>
      </c>
    </row>
    <row r="64" spans="2:16" ht="25.5" customHeight="1">
      <c r="B64" s="281"/>
      <c r="C64" s="260"/>
      <c r="D64" s="194" t="s">
        <v>48</v>
      </c>
      <c r="E64" s="178">
        <f t="shared" ref="E64:J64" si="28">SUM(E59:E63)</f>
        <v>27</v>
      </c>
      <c r="F64" s="214">
        <f t="shared" si="28"/>
        <v>184366315.87012985</v>
      </c>
      <c r="G64" s="214">
        <f t="shared" si="28"/>
        <v>876282186</v>
      </c>
      <c r="H64" s="214">
        <f t="shared" si="28"/>
        <v>177025622.76479077</v>
      </c>
      <c r="I64" s="214">
        <f t="shared" si="28"/>
        <v>899640045.77777779</v>
      </c>
      <c r="J64" s="217">
        <f t="shared" si="28"/>
        <v>23357859.777777798</v>
      </c>
      <c r="K64" s="272" t="s">
        <v>55</v>
      </c>
      <c r="L64" s="273"/>
      <c r="M64" s="273"/>
      <c r="O64" s="21"/>
    </row>
    <row r="65" spans="1:15" ht="27" customHeight="1">
      <c r="B65" s="279" t="s">
        <v>5</v>
      </c>
      <c r="C65" s="279" t="s">
        <v>50</v>
      </c>
      <c r="D65" s="265" t="s">
        <v>10</v>
      </c>
      <c r="E65" s="266">
        <v>11</v>
      </c>
      <c r="F65" s="202">
        <f t="shared" ref="F65:F69" si="29">+G65/E65</f>
        <v>31078772.727272727</v>
      </c>
      <c r="G65" s="202">
        <f t="shared" ref="G65:G69" si="30">G59</f>
        <v>341866500</v>
      </c>
      <c r="H65" s="202">
        <f t="shared" ref="H65:H69" si="31">+I65/E65</f>
        <v>34151556.363636367</v>
      </c>
      <c r="I65" s="202">
        <f>+'Innova '!E62</f>
        <v>375667120</v>
      </c>
      <c r="J65" s="212">
        <f t="shared" ref="J65:J69" si="32">+I65-G65</f>
        <v>33800620</v>
      </c>
      <c r="K65" s="270" t="s">
        <v>24</v>
      </c>
      <c r="L65" s="271"/>
      <c r="M65" s="271"/>
    </row>
    <row r="66" spans="1:15" ht="28.5" customHeight="1">
      <c r="B66" s="280"/>
      <c r="C66" s="280"/>
      <c r="D66" s="265" t="s">
        <v>15</v>
      </c>
      <c r="E66" s="266">
        <v>7</v>
      </c>
      <c r="F66" s="202">
        <f t="shared" si="29"/>
        <v>31942000</v>
      </c>
      <c r="G66" s="243">
        <f t="shared" si="30"/>
        <v>223594000</v>
      </c>
      <c r="H66" s="202">
        <f t="shared" si="31"/>
        <v>38040508.571428575</v>
      </c>
      <c r="I66" s="255">
        <f>+'Innova '!H62</f>
        <v>266283560</v>
      </c>
      <c r="J66" s="212">
        <f t="shared" si="32"/>
        <v>42689560</v>
      </c>
      <c r="K66" s="291" t="s">
        <v>135</v>
      </c>
      <c r="L66" s="292"/>
      <c r="M66" s="293"/>
      <c r="N66" s="22" t="s">
        <v>52</v>
      </c>
    </row>
    <row r="67" spans="1:15" ht="28.5" customHeight="1">
      <c r="B67" s="280"/>
      <c r="C67" s="280"/>
      <c r="D67" s="265" t="s">
        <v>17</v>
      </c>
      <c r="E67" s="266">
        <v>1</v>
      </c>
      <c r="F67" s="202">
        <f>+F61</f>
        <v>44789186</v>
      </c>
      <c r="G67" s="202">
        <f t="shared" si="30"/>
        <v>44789186</v>
      </c>
      <c r="H67" s="202">
        <f t="shared" si="31"/>
        <v>38479080</v>
      </c>
      <c r="I67" s="202">
        <f>'Innova '!K32</f>
        <v>38479080</v>
      </c>
      <c r="J67" s="212">
        <f t="shared" si="32"/>
        <v>-6310106</v>
      </c>
      <c r="K67" s="294"/>
      <c r="L67" s="295"/>
      <c r="M67" s="296"/>
      <c r="N67" s="22"/>
    </row>
    <row r="68" spans="1:15" ht="28.5" customHeight="1">
      <c r="B68" s="280"/>
      <c r="C68" s="281"/>
      <c r="D68" s="265" t="s">
        <v>17</v>
      </c>
      <c r="E68" s="266">
        <v>7</v>
      </c>
      <c r="F68" s="202">
        <f t="shared" si="29"/>
        <v>31579357.142857142</v>
      </c>
      <c r="G68" s="202">
        <f t="shared" si="30"/>
        <v>221055500</v>
      </c>
      <c r="H68" s="202">
        <f t="shared" si="31"/>
        <v>37695270.476190478</v>
      </c>
      <c r="I68" s="202">
        <f>+'Innova '!K62</f>
        <v>263866893.33333334</v>
      </c>
      <c r="J68" s="212">
        <f t="shared" si="32"/>
        <v>42811393.333333343</v>
      </c>
      <c r="K68" s="297"/>
      <c r="L68" s="298"/>
      <c r="M68" s="299"/>
    </row>
    <row r="69" spans="1:15" ht="37.5" customHeight="1">
      <c r="B69" s="280"/>
      <c r="C69" s="267" t="s">
        <v>53</v>
      </c>
      <c r="D69" s="265" t="s">
        <v>15</v>
      </c>
      <c r="E69" s="266">
        <v>1</v>
      </c>
      <c r="F69" s="202">
        <f t="shared" si="29"/>
        <v>44977000</v>
      </c>
      <c r="G69" s="202">
        <f t="shared" si="30"/>
        <v>44977000</v>
      </c>
      <c r="H69" s="202">
        <f t="shared" si="31"/>
        <v>45740200</v>
      </c>
      <c r="I69" s="255">
        <f>+'Innova '!N62</f>
        <v>45740200</v>
      </c>
      <c r="J69" s="212">
        <f t="shared" si="32"/>
        <v>763200</v>
      </c>
      <c r="K69" s="270" t="s">
        <v>54</v>
      </c>
      <c r="L69" s="271"/>
      <c r="M69" s="271"/>
    </row>
    <row r="70" spans="1:15" ht="26.25" customHeight="1">
      <c r="B70" s="281"/>
      <c r="C70" s="260"/>
      <c r="D70" s="194" t="s">
        <v>48</v>
      </c>
      <c r="E70" s="178">
        <f t="shared" ref="E70:J70" si="33">SUM(E65:E69)</f>
        <v>27</v>
      </c>
      <c r="F70" s="214">
        <f t="shared" si="33"/>
        <v>184366315.87012985</v>
      </c>
      <c r="G70" s="214">
        <f t="shared" si="33"/>
        <v>876282186</v>
      </c>
      <c r="H70" s="214">
        <f t="shared" si="33"/>
        <v>194106615.41125542</v>
      </c>
      <c r="I70" s="214">
        <f t="shared" si="33"/>
        <v>990036853.33333337</v>
      </c>
      <c r="J70" s="217">
        <f t="shared" si="33"/>
        <v>113754667.33333334</v>
      </c>
      <c r="K70" s="272" t="s">
        <v>57</v>
      </c>
      <c r="L70" s="273"/>
      <c r="M70" s="273"/>
      <c r="O70" s="21"/>
    </row>
    <row r="71" spans="1:15" ht="27" customHeight="1">
      <c r="B71" s="279" t="s">
        <v>7</v>
      </c>
      <c r="C71" s="279" t="s">
        <v>50</v>
      </c>
      <c r="D71" s="265" t="s">
        <v>10</v>
      </c>
      <c r="E71" s="266">
        <v>11</v>
      </c>
      <c r="F71" s="202">
        <f t="shared" ref="F71:F75" si="34">+G71/E71</f>
        <v>31078772.727272727</v>
      </c>
      <c r="G71" s="202">
        <f t="shared" ref="G71:G75" si="35">G65</f>
        <v>341866500</v>
      </c>
      <c r="H71" s="202">
        <f t="shared" ref="H71:H75" si="36">+I71/E71</f>
        <v>35291037.909090906</v>
      </c>
      <c r="I71" s="202">
        <f>'Innova '!T99</f>
        <v>388201417</v>
      </c>
      <c r="J71" s="212">
        <f t="shared" ref="J71:J75" si="37">+I71-G71</f>
        <v>46334917</v>
      </c>
      <c r="K71" s="270" t="s">
        <v>24</v>
      </c>
      <c r="L71" s="271"/>
      <c r="M71" s="271"/>
    </row>
    <row r="72" spans="1:15" ht="28.5" customHeight="1">
      <c r="B72" s="280"/>
      <c r="C72" s="280"/>
      <c r="D72" s="265" t="s">
        <v>15</v>
      </c>
      <c r="E72" s="266">
        <v>7</v>
      </c>
      <c r="F72" s="202">
        <f t="shared" si="34"/>
        <v>31942000</v>
      </c>
      <c r="G72" s="202">
        <f t="shared" si="35"/>
        <v>223594000</v>
      </c>
      <c r="H72" s="202">
        <f t="shared" si="36"/>
        <v>38196335.142857142</v>
      </c>
      <c r="I72" s="202">
        <f>'Innova '!W99</f>
        <v>267374346</v>
      </c>
      <c r="J72" s="212">
        <f t="shared" si="37"/>
        <v>43780346</v>
      </c>
      <c r="K72" s="291" t="s">
        <v>135</v>
      </c>
      <c r="L72" s="292"/>
      <c r="M72" s="293"/>
      <c r="N72" s="22" t="s">
        <v>52</v>
      </c>
    </row>
    <row r="73" spans="1:15" ht="28.5" customHeight="1">
      <c r="B73" s="280"/>
      <c r="C73" s="280"/>
      <c r="D73" s="265" t="s">
        <v>17</v>
      </c>
      <c r="E73" s="266">
        <v>1</v>
      </c>
      <c r="F73" s="202">
        <f>+F61</f>
        <v>44789186</v>
      </c>
      <c r="G73" s="202">
        <f t="shared" si="35"/>
        <v>44789186</v>
      </c>
      <c r="H73" s="202">
        <f t="shared" si="36"/>
        <v>265482679.33333334</v>
      </c>
      <c r="I73" s="202">
        <f>'Innova '!Z99</f>
        <v>265482679.33333334</v>
      </c>
      <c r="J73" s="212">
        <f t="shared" si="37"/>
        <v>220693493.33333334</v>
      </c>
      <c r="K73" s="294"/>
      <c r="L73" s="295"/>
      <c r="M73" s="296"/>
      <c r="N73" s="22"/>
    </row>
    <row r="74" spans="1:15" ht="28.5" customHeight="1">
      <c r="B74" s="280"/>
      <c r="C74" s="281"/>
      <c r="D74" s="265" t="s">
        <v>17</v>
      </c>
      <c r="E74" s="266">
        <v>7</v>
      </c>
      <c r="F74" s="202">
        <f t="shared" si="34"/>
        <v>31579357.142857142</v>
      </c>
      <c r="G74" s="202">
        <f t="shared" si="35"/>
        <v>221055500</v>
      </c>
      <c r="H74" s="202">
        <f t="shared" si="36"/>
        <v>5516925.4285714282</v>
      </c>
      <c r="I74" s="202">
        <f>'Innova '!N32</f>
        <v>38618478</v>
      </c>
      <c r="J74" s="212">
        <f t="shared" si="37"/>
        <v>-182437022</v>
      </c>
      <c r="K74" s="297"/>
      <c r="L74" s="298"/>
      <c r="M74" s="299"/>
    </row>
    <row r="75" spans="1:15" ht="37.5" customHeight="1">
      <c r="B75" s="280"/>
      <c r="C75" s="267" t="s">
        <v>53</v>
      </c>
      <c r="D75" s="265" t="s">
        <v>15</v>
      </c>
      <c r="E75" s="266">
        <v>1</v>
      </c>
      <c r="F75" s="202">
        <f t="shared" si="34"/>
        <v>44977000</v>
      </c>
      <c r="G75" s="202">
        <f t="shared" si="35"/>
        <v>44977000</v>
      </c>
      <c r="H75" s="202">
        <f t="shared" si="36"/>
        <v>43909973</v>
      </c>
      <c r="I75" s="202">
        <f>'Innova '!AC99</f>
        <v>43909973</v>
      </c>
      <c r="J75" s="212">
        <f t="shared" si="37"/>
        <v>-1067027</v>
      </c>
      <c r="K75" s="270" t="s">
        <v>54</v>
      </c>
      <c r="L75" s="271"/>
      <c r="M75" s="271"/>
    </row>
    <row r="76" spans="1:15" ht="25.5" customHeight="1">
      <c r="B76" s="281"/>
      <c r="C76" s="260"/>
      <c r="D76" s="194" t="s">
        <v>48</v>
      </c>
      <c r="E76" s="178">
        <f t="shared" ref="E76:J76" si="38">SUM(E71:E75)</f>
        <v>27</v>
      </c>
      <c r="F76" s="214">
        <f t="shared" si="38"/>
        <v>184366315.87012985</v>
      </c>
      <c r="G76" s="214">
        <f t="shared" si="38"/>
        <v>876282186</v>
      </c>
      <c r="H76" s="214">
        <f t="shared" si="38"/>
        <v>388396950.81385279</v>
      </c>
      <c r="I76" s="214">
        <f t="shared" si="38"/>
        <v>1003586893.3333334</v>
      </c>
      <c r="J76" s="217">
        <f t="shared" si="38"/>
        <v>127304707.33333337</v>
      </c>
      <c r="K76" s="272" t="s">
        <v>56</v>
      </c>
      <c r="L76" s="273"/>
      <c r="M76" s="273"/>
      <c r="O76" s="21"/>
    </row>
    <row r="77" spans="1:15" ht="27" customHeight="1">
      <c r="A77" s="21">
        <f>+I81-G75</f>
        <v>-4715846.0317460001</v>
      </c>
      <c r="B77" s="279" t="s">
        <v>6</v>
      </c>
      <c r="C77" s="279" t="s">
        <v>58</v>
      </c>
      <c r="D77" s="265" t="s">
        <v>10</v>
      </c>
      <c r="E77" s="266">
        <v>11</v>
      </c>
      <c r="F77" s="202">
        <f t="shared" ref="F77:F81" si="39">+G77/E77</f>
        <v>0</v>
      </c>
      <c r="G77" s="202"/>
      <c r="H77" s="202">
        <f t="shared" ref="H77:H81" si="40">+I77/E77</f>
        <v>29316184.90909091</v>
      </c>
      <c r="I77" s="202">
        <f>Xpander!T59</f>
        <v>322478034</v>
      </c>
      <c r="J77" s="212">
        <f>+I77-G77</f>
        <v>322478034</v>
      </c>
      <c r="K77" s="270" t="s">
        <v>24</v>
      </c>
      <c r="L77" s="271"/>
      <c r="M77" s="271"/>
    </row>
    <row r="78" spans="1:15" ht="28.5" customHeight="1">
      <c r="A78" s="21">
        <f>+J78-G66</f>
        <v>11897398</v>
      </c>
      <c r="B78" s="280"/>
      <c r="C78" s="280"/>
      <c r="D78" s="265" t="s">
        <v>15</v>
      </c>
      <c r="E78" s="266">
        <v>7</v>
      </c>
      <c r="F78" s="202">
        <f t="shared" si="39"/>
        <v>0</v>
      </c>
      <c r="G78" s="202"/>
      <c r="H78" s="202">
        <f t="shared" si="40"/>
        <v>33641628.285714284</v>
      </c>
      <c r="I78" s="202">
        <f>Xpander!W59</f>
        <v>235491398</v>
      </c>
      <c r="J78" s="256">
        <f t="shared" ref="J78:J81" si="41">+I78-G78</f>
        <v>235491398</v>
      </c>
      <c r="K78" s="291" t="s">
        <v>135</v>
      </c>
      <c r="L78" s="292"/>
      <c r="M78" s="293"/>
      <c r="N78" s="22" t="s">
        <v>52</v>
      </c>
    </row>
    <row r="79" spans="1:15" ht="28.5" customHeight="1">
      <c r="A79" s="21">
        <f>+A77+A78</f>
        <v>7181551.9682539999</v>
      </c>
      <c r="B79" s="280"/>
      <c r="C79" s="280"/>
      <c r="D79" s="265" t="s">
        <v>17</v>
      </c>
      <c r="E79" s="266">
        <v>1</v>
      </c>
      <c r="F79" s="202">
        <f t="shared" si="39"/>
        <v>0</v>
      </c>
      <c r="G79" s="202"/>
      <c r="H79" s="202">
        <f t="shared" si="40"/>
        <v>34060914</v>
      </c>
      <c r="I79" s="202">
        <f>Xpander!AF59</f>
        <v>34060914</v>
      </c>
      <c r="J79" s="212">
        <f t="shared" si="41"/>
        <v>34060914</v>
      </c>
      <c r="K79" s="294"/>
      <c r="L79" s="295"/>
      <c r="M79" s="296"/>
      <c r="N79" s="22"/>
    </row>
    <row r="80" spans="1:15" ht="28.5" customHeight="1">
      <c r="B80" s="280"/>
      <c r="C80" s="281"/>
      <c r="D80" s="265" t="s">
        <v>17</v>
      </c>
      <c r="E80" s="266">
        <v>7</v>
      </c>
      <c r="F80" s="202">
        <f t="shared" si="39"/>
        <v>0</v>
      </c>
      <c r="G80" s="202"/>
      <c r="H80" s="202">
        <f t="shared" si="40"/>
        <v>33363056.857142854</v>
      </c>
      <c r="I80" s="202">
        <f>Xpander!Z59</f>
        <v>233541397.99999997</v>
      </c>
      <c r="J80" s="212">
        <f t="shared" si="41"/>
        <v>233541397.99999997</v>
      </c>
      <c r="K80" s="297"/>
      <c r="L80" s="298"/>
      <c r="M80" s="299"/>
    </row>
    <row r="81" spans="2:15" ht="37.5" customHeight="1">
      <c r="B81" s="280"/>
      <c r="C81" s="267" t="s">
        <v>59</v>
      </c>
      <c r="D81" s="265" t="s">
        <v>15</v>
      </c>
      <c r="E81" s="266">
        <v>1</v>
      </c>
      <c r="F81" s="202">
        <f t="shared" si="39"/>
        <v>0</v>
      </c>
      <c r="G81" s="202"/>
      <c r="H81" s="202">
        <f t="shared" si="40"/>
        <v>40261153.968254</v>
      </c>
      <c r="I81" s="202">
        <f>Xpander!AC59</f>
        <v>40261153.968254</v>
      </c>
      <c r="J81" s="212">
        <f t="shared" si="41"/>
        <v>40261153.968254</v>
      </c>
      <c r="K81" s="270" t="s">
        <v>54</v>
      </c>
      <c r="L81" s="271"/>
      <c r="M81" s="271"/>
    </row>
    <row r="82" spans="2:15" ht="25.5" customHeight="1">
      <c r="B82" s="281"/>
      <c r="C82" s="260"/>
      <c r="D82" s="194" t="s">
        <v>48</v>
      </c>
      <c r="E82" s="178">
        <f t="shared" ref="E82:J82" si="42">SUM(E77:E81)</f>
        <v>27</v>
      </c>
      <c r="F82" s="214">
        <f t="shared" si="42"/>
        <v>0</v>
      </c>
      <c r="G82" s="214">
        <f t="shared" si="42"/>
        <v>0</v>
      </c>
      <c r="H82" s="214">
        <f t="shared" si="42"/>
        <v>170642938.02020204</v>
      </c>
      <c r="I82" s="214">
        <f t="shared" si="42"/>
        <v>865832897.96825397</v>
      </c>
      <c r="J82" s="217">
        <f t="shared" si="42"/>
        <v>865832897.96825397</v>
      </c>
      <c r="K82" s="273"/>
      <c r="L82" s="273"/>
      <c r="M82" s="273"/>
      <c r="O82" s="21"/>
    </row>
    <row r="83" spans="2:15" ht="32.1" customHeight="1">
      <c r="B83" s="276" t="s">
        <v>4</v>
      </c>
      <c r="C83" s="276" t="s">
        <v>60</v>
      </c>
      <c r="D83" s="265" t="s">
        <v>61</v>
      </c>
      <c r="E83" s="266">
        <v>18</v>
      </c>
      <c r="F83" s="202">
        <f>G83/E83</f>
        <v>43991472.081349209</v>
      </c>
      <c r="G83" s="202">
        <f>'11 seats (Hiace)'!E15</f>
        <v>791846497.46428573</v>
      </c>
      <c r="H83" s="202">
        <f>I83/E83</f>
        <v>41572091.359126985</v>
      </c>
      <c r="I83" s="244">
        <f>'11 seats (Hiace)'!Q30</f>
        <v>748297644.46428573</v>
      </c>
      <c r="J83" s="212">
        <f>+I83-G83</f>
        <v>-43548853</v>
      </c>
      <c r="K83" s="270" t="s">
        <v>62</v>
      </c>
      <c r="L83" s="271"/>
      <c r="M83" s="271"/>
    </row>
    <row r="84" spans="2:15" ht="30" customHeight="1">
      <c r="B84" s="277"/>
      <c r="C84" s="277"/>
      <c r="D84" s="265" t="s">
        <v>63</v>
      </c>
      <c r="E84" s="266">
        <v>10</v>
      </c>
      <c r="F84" s="202">
        <f>G84/E84</f>
        <v>47874595.346428573</v>
      </c>
      <c r="G84" s="202">
        <f>'11 seats (Hiace)'!Q15</f>
        <v>478745953.46428573</v>
      </c>
      <c r="H84" s="202">
        <f>I84/E84</f>
        <v>45255284.446428567</v>
      </c>
      <c r="I84" s="384">
        <f>'11 seats (Hiace)'!Q45</f>
        <v>452552844.46428567</v>
      </c>
      <c r="J84" s="212">
        <f>+I84-G84</f>
        <v>-26193109.00000006</v>
      </c>
      <c r="K84" s="271"/>
      <c r="L84" s="271"/>
      <c r="M84" s="271"/>
    </row>
    <row r="85" spans="2:15" ht="33" customHeight="1">
      <c r="B85" s="277"/>
      <c r="C85" s="277"/>
      <c r="D85" s="267" t="s">
        <v>64</v>
      </c>
      <c r="E85" s="265">
        <v>8</v>
      </c>
      <c r="F85" s="218"/>
      <c r="G85" s="218"/>
      <c r="H85" s="202">
        <f>'11 seats (Hiace)'!O60</f>
        <v>52823000</v>
      </c>
      <c r="I85" s="202">
        <f t="shared" ref="I85:I88" si="43">H85*$E$85</f>
        <v>422584000</v>
      </c>
      <c r="J85" s="219"/>
      <c r="K85" s="271"/>
      <c r="L85" s="271"/>
      <c r="M85" s="271"/>
    </row>
    <row r="86" spans="2:15" ht="33" customHeight="1">
      <c r="B86" s="277"/>
      <c r="C86" s="277"/>
      <c r="D86" s="267" t="s">
        <v>65</v>
      </c>
      <c r="E86" s="265">
        <v>8</v>
      </c>
      <c r="F86" s="218"/>
      <c r="G86" s="218"/>
      <c r="H86" s="202">
        <f>'11 seats (Hiace)'!O74</f>
        <v>48728000</v>
      </c>
      <c r="I86" s="384">
        <f t="shared" si="43"/>
        <v>389824000</v>
      </c>
      <c r="J86" s="219"/>
      <c r="K86" s="271"/>
      <c r="L86" s="271"/>
      <c r="M86" s="271"/>
    </row>
    <row r="87" spans="2:15" ht="33" customHeight="1">
      <c r="B87" s="277"/>
      <c r="C87" s="277"/>
      <c r="D87" s="267" t="s">
        <v>66</v>
      </c>
      <c r="E87" s="265">
        <v>8</v>
      </c>
      <c r="F87" s="218"/>
      <c r="G87" s="218"/>
      <c r="H87" s="202">
        <f>'11 seats (Transit)'!O96</f>
        <v>45794000</v>
      </c>
      <c r="I87" s="202">
        <f t="shared" si="43"/>
        <v>366352000</v>
      </c>
      <c r="J87" s="219"/>
      <c r="K87" s="271"/>
      <c r="L87" s="271"/>
      <c r="M87" s="271"/>
    </row>
    <row r="88" spans="2:15" ht="36.75" customHeight="1">
      <c r="B88" s="277"/>
      <c r="C88" s="277"/>
      <c r="D88" s="267" t="s">
        <v>67</v>
      </c>
      <c r="E88" s="265">
        <v>8</v>
      </c>
      <c r="F88" s="218"/>
      <c r="G88" s="218"/>
      <c r="H88" s="202">
        <f>'11 seats (Transit)'!O126</f>
        <v>42657000</v>
      </c>
      <c r="I88" s="202">
        <f t="shared" si="43"/>
        <v>341256000</v>
      </c>
      <c r="J88" s="219"/>
      <c r="K88" s="271"/>
      <c r="L88" s="271"/>
      <c r="M88" s="271"/>
    </row>
    <row r="89" spans="2:15" ht="33" customHeight="1">
      <c r="B89" s="277"/>
      <c r="C89" s="277"/>
      <c r="D89" s="267" t="s">
        <v>68</v>
      </c>
      <c r="E89" s="265" t="s">
        <v>69</v>
      </c>
      <c r="F89" s="218"/>
      <c r="G89" s="218"/>
      <c r="H89" s="202">
        <f>I89/8</f>
        <v>49308500</v>
      </c>
      <c r="I89" s="202">
        <f>4*H85+4*H87</f>
        <v>394468000</v>
      </c>
      <c r="J89" s="219"/>
      <c r="K89" s="271"/>
      <c r="L89" s="271"/>
      <c r="M89" s="271"/>
    </row>
    <row r="90" spans="2:15" ht="33" customHeight="1">
      <c r="B90" s="277"/>
      <c r="C90" s="277"/>
      <c r="D90" s="267" t="s">
        <v>70</v>
      </c>
      <c r="E90" s="265" t="s">
        <v>69</v>
      </c>
      <c r="F90" s="218"/>
      <c r="G90" s="218"/>
      <c r="H90" s="202">
        <f>I90/8</f>
        <v>45692500</v>
      </c>
      <c r="I90" s="202">
        <f>4*H86+4*H88</f>
        <v>365540000</v>
      </c>
      <c r="J90" s="219"/>
      <c r="K90" s="271"/>
      <c r="L90" s="271"/>
      <c r="M90" s="271"/>
    </row>
    <row r="91" spans="2:15" ht="33" customHeight="1">
      <c r="B91" s="277"/>
      <c r="C91" s="277"/>
      <c r="D91" s="265" t="s">
        <v>71</v>
      </c>
      <c r="E91" s="265"/>
      <c r="F91" s="202"/>
      <c r="G91" s="202">
        <f t="shared" ref="G91:G96" si="44">$G$83</f>
        <v>791846497.46428573</v>
      </c>
      <c r="H91" s="202"/>
      <c r="I91" s="202">
        <f t="shared" ref="I91:I96" si="45">$I$84+I85</f>
        <v>875136844.46428561</v>
      </c>
      <c r="J91" s="212">
        <f t="shared" ref="J91:J98" si="46">+I91-G91</f>
        <v>83290346.999999881</v>
      </c>
      <c r="K91" s="271"/>
      <c r="L91" s="271"/>
      <c r="M91" s="271"/>
    </row>
    <row r="92" spans="2:15" ht="33" customHeight="1">
      <c r="B92" s="277"/>
      <c r="C92" s="277"/>
      <c r="D92" s="265" t="s">
        <v>72</v>
      </c>
      <c r="E92" s="265"/>
      <c r="F92" s="202"/>
      <c r="G92" s="202">
        <f t="shared" si="44"/>
        <v>791846497.46428573</v>
      </c>
      <c r="H92" s="202"/>
      <c r="I92" s="202">
        <f t="shared" si="45"/>
        <v>842376844.46428561</v>
      </c>
      <c r="J92" s="212">
        <f t="shared" si="46"/>
        <v>50530346.999999881</v>
      </c>
      <c r="K92" s="271"/>
      <c r="L92" s="271"/>
      <c r="M92" s="271"/>
    </row>
    <row r="93" spans="2:15" ht="33" customHeight="1">
      <c r="B93" s="277"/>
      <c r="C93" s="277"/>
      <c r="D93" s="265" t="s">
        <v>73</v>
      </c>
      <c r="E93" s="265"/>
      <c r="F93" s="202"/>
      <c r="G93" s="202">
        <f t="shared" si="44"/>
        <v>791846497.46428573</v>
      </c>
      <c r="H93" s="202"/>
      <c r="I93" s="202">
        <f t="shared" si="45"/>
        <v>818904844.46428561</v>
      </c>
      <c r="J93" s="212">
        <f t="shared" si="46"/>
        <v>27058346.999999881</v>
      </c>
      <c r="K93" s="271"/>
      <c r="L93" s="271"/>
      <c r="M93" s="271"/>
    </row>
    <row r="94" spans="2:15" ht="33" customHeight="1">
      <c r="B94" s="277"/>
      <c r="C94" s="277"/>
      <c r="D94" s="265" t="s">
        <v>74</v>
      </c>
      <c r="E94" s="265"/>
      <c r="F94" s="202"/>
      <c r="G94" s="202">
        <f t="shared" si="44"/>
        <v>791846497.46428573</v>
      </c>
      <c r="H94" s="202"/>
      <c r="I94" s="202">
        <f t="shared" si="45"/>
        <v>793808844.46428561</v>
      </c>
      <c r="J94" s="212">
        <f t="shared" si="46"/>
        <v>1962346.9999998808</v>
      </c>
      <c r="K94" s="271"/>
      <c r="L94" s="271"/>
      <c r="M94" s="271"/>
    </row>
    <row r="95" spans="2:15" ht="33" customHeight="1">
      <c r="B95" s="277"/>
      <c r="C95" s="277"/>
      <c r="D95" s="265" t="s">
        <v>75</v>
      </c>
      <c r="E95" s="265"/>
      <c r="F95" s="202"/>
      <c r="G95" s="202">
        <f t="shared" si="44"/>
        <v>791846497.46428573</v>
      </c>
      <c r="H95" s="202"/>
      <c r="I95" s="202">
        <f t="shared" si="45"/>
        <v>847020844.46428561</v>
      </c>
      <c r="J95" s="212">
        <f t="shared" si="46"/>
        <v>55174346.999999881</v>
      </c>
      <c r="K95" s="271"/>
      <c r="L95" s="271"/>
      <c r="M95" s="271"/>
    </row>
    <row r="96" spans="2:15" ht="33" customHeight="1">
      <c r="B96" s="277"/>
      <c r="C96" s="277"/>
      <c r="D96" s="265" t="s">
        <v>76</v>
      </c>
      <c r="E96" s="265"/>
      <c r="F96" s="202"/>
      <c r="G96" s="202">
        <f t="shared" si="44"/>
        <v>791846497.46428573</v>
      </c>
      <c r="H96" s="202"/>
      <c r="I96" s="202">
        <f t="shared" si="45"/>
        <v>818092844.46428561</v>
      </c>
      <c r="J96" s="210">
        <f t="shared" si="46"/>
        <v>26246346.999999881</v>
      </c>
      <c r="K96" s="271"/>
      <c r="L96" s="271"/>
      <c r="M96" s="271"/>
    </row>
    <row r="97" spans="2:13" ht="32.1" customHeight="1">
      <c r="B97" s="276"/>
      <c r="C97" s="276" t="s">
        <v>77</v>
      </c>
      <c r="D97" s="265" t="s">
        <v>61</v>
      </c>
      <c r="E97" s="266">
        <v>19</v>
      </c>
      <c r="F97" s="202">
        <f>G97/E97</f>
        <v>50316781.684210524</v>
      </c>
      <c r="G97" s="202">
        <f>'11 seats (Hiace)'!H15</f>
        <v>956018852</v>
      </c>
      <c r="H97" s="202">
        <f>I97/E97</f>
        <v>46883504.210526317</v>
      </c>
      <c r="I97" s="202">
        <f>'11 seats (Hiace)'!T30</f>
        <v>890786580</v>
      </c>
      <c r="J97" s="212">
        <f t="shared" si="46"/>
        <v>-65232272</v>
      </c>
      <c r="K97" s="270" t="s">
        <v>78</v>
      </c>
      <c r="L97" s="271"/>
      <c r="M97" s="271"/>
    </row>
    <row r="98" spans="2:13" ht="30" customHeight="1">
      <c r="B98" s="277"/>
      <c r="C98" s="277"/>
      <c r="D98" s="265" t="s">
        <v>63</v>
      </c>
      <c r="E98" s="266">
        <v>11</v>
      </c>
      <c r="F98" s="202">
        <f>G98/E98</f>
        <v>0</v>
      </c>
      <c r="G98" s="202"/>
      <c r="H98" s="202">
        <f>I98/E98</f>
        <v>50693398.18181818</v>
      </c>
      <c r="I98" s="244">
        <f>'11 seats (Hiace)'!AH59</f>
        <v>557627380</v>
      </c>
      <c r="J98" s="212">
        <f t="shared" si="46"/>
        <v>557627380</v>
      </c>
      <c r="K98" s="271"/>
      <c r="L98" s="271"/>
      <c r="M98" s="271"/>
    </row>
    <row r="99" spans="2:13" ht="33" customHeight="1">
      <c r="B99" s="277"/>
      <c r="C99" s="277"/>
      <c r="D99" s="267" t="s">
        <v>79</v>
      </c>
      <c r="E99" s="265">
        <v>8</v>
      </c>
      <c r="F99" s="218"/>
      <c r="G99" s="218"/>
      <c r="H99" s="202">
        <f>'11 seats (Hiace)'!R60</f>
        <v>55697000</v>
      </c>
      <c r="I99" s="202">
        <f t="shared" ref="I99:I102" si="47">H99*$E$99</f>
        <v>445576000</v>
      </c>
      <c r="J99" s="219"/>
      <c r="K99" s="271"/>
      <c r="L99" s="271"/>
      <c r="M99" s="271"/>
    </row>
    <row r="100" spans="2:13" ht="33" customHeight="1">
      <c r="B100" s="277"/>
      <c r="C100" s="277"/>
      <c r="D100" s="267" t="s">
        <v>80</v>
      </c>
      <c r="E100" s="265">
        <v>8</v>
      </c>
      <c r="F100" s="218"/>
      <c r="G100" s="218"/>
      <c r="H100" s="202">
        <f>'11 seats (Hiace)'!R74</f>
        <v>51602000</v>
      </c>
      <c r="I100" s="202">
        <f t="shared" si="47"/>
        <v>412816000</v>
      </c>
      <c r="J100" s="219"/>
      <c r="K100" s="271"/>
      <c r="L100" s="271"/>
      <c r="M100" s="271"/>
    </row>
    <row r="101" spans="2:13" ht="33" customHeight="1">
      <c r="B101" s="277"/>
      <c r="C101" s="277"/>
      <c r="D101" s="267" t="s">
        <v>81</v>
      </c>
      <c r="E101" s="265">
        <v>8</v>
      </c>
      <c r="F101" s="218"/>
      <c r="G101" s="218"/>
      <c r="H101" s="202">
        <f>'11 seats (Transit)'!R96</f>
        <v>48668000</v>
      </c>
      <c r="I101" s="202">
        <f t="shared" si="47"/>
        <v>389344000</v>
      </c>
      <c r="J101" s="219"/>
      <c r="K101" s="271"/>
      <c r="L101" s="271"/>
      <c r="M101" s="271"/>
    </row>
    <row r="102" spans="2:13" ht="33" customHeight="1">
      <c r="B102" s="277"/>
      <c r="C102" s="277"/>
      <c r="D102" s="267" t="s">
        <v>82</v>
      </c>
      <c r="E102" s="265">
        <v>8</v>
      </c>
      <c r="F102" s="218"/>
      <c r="G102" s="218"/>
      <c r="H102" s="202">
        <f>'11 seats (Transit)'!R126</f>
        <v>45531000</v>
      </c>
      <c r="I102" s="202">
        <f t="shared" si="47"/>
        <v>364248000</v>
      </c>
      <c r="J102" s="219"/>
      <c r="K102" s="271"/>
      <c r="L102" s="271"/>
      <c r="M102" s="271"/>
    </row>
    <row r="103" spans="2:13" ht="33" customHeight="1">
      <c r="B103" s="277"/>
      <c r="C103" s="277"/>
      <c r="D103" s="267" t="s">
        <v>83</v>
      </c>
      <c r="E103" s="265" t="s">
        <v>69</v>
      </c>
      <c r="F103" s="218"/>
      <c r="G103" s="218"/>
      <c r="H103" s="202">
        <f>I103/E99</f>
        <v>52182500</v>
      </c>
      <c r="I103" s="202">
        <f>H99*4+H101*4</f>
        <v>417460000</v>
      </c>
      <c r="J103" s="219"/>
      <c r="K103" s="271"/>
      <c r="L103" s="271"/>
      <c r="M103" s="271"/>
    </row>
    <row r="104" spans="2:13" ht="33" customHeight="1">
      <c r="B104" s="277"/>
      <c r="C104" s="277"/>
      <c r="D104" s="267" t="s">
        <v>85</v>
      </c>
      <c r="E104" s="265" t="s">
        <v>69</v>
      </c>
      <c r="F104" s="218"/>
      <c r="G104" s="218"/>
      <c r="H104" s="202">
        <f>I104/E99</f>
        <v>48566500</v>
      </c>
      <c r="I104" s="202">
        <f>H100*4+H102*4</f>
        <v>388532000</v>
      </c>
      <c r="J104" s="219"/>
      <c r="K104" s="271"/>
      <c r="L104" s="271"/>
      <c r="M104" s="271"/>
    </row>
    <row r="105" spans="2:13" ht="33" customHeight="1">
      <c r="B105" s="277"/>
      <c r="C105" s="277"/>
      <c r="D105" s="265" t="s">
        <v>71</v>
      </c>
      <c r="E105" s="265"/>
      <c r="F105" s="202"/>
      <c r="G105" s="202">
        <f t="shared" ref="G105:G110" si="48">$G$97</f>
        <v>956018852</v>
      </c>
      <c r="H105" s="202"/>
      <c r="I105" s="202">
        <f t="shared" ref="I105:I110" si="49">$I$98+I99</f>
        <v>1003203380</v>
      </c>
      <c r="J105" s="212">
        <f t="shared" ref="J105:J112" si="50">+I105-G105</f>
        <v>47184528</v>
      </c>
      <c r="K105" s="271"/>
      <c r="L105" s="271"/>
      <c r="M105" s="271"/>
    </row>
    <row r="106" spans="2:13" ht="33" customHeight="1">
      <c r="B106" s="277"/>
      <c r="C106" s="277"/>
      <c r="D106" s="265" t="s">
        <v>72</v>
      </c>
      <c r="E106" s="265"/>
      <c r="F106" s="202"/>
      <c r="G106" s="202">
        <f t="shared" si="48"/>
        <v>956018852</v>
      </c>
      <c r="H106" s="202"/>
      <c r="I106" s="243">
        <f t="shared" si="49"/>
        <v>970443380</v>
      </c>
      <c r="J106" s="212">
        <f t="shared" si="50"/>
        <v>14424528</v>
      </c>
      <c r="K106" s="271"/>
      <c r="L106" s="271"/>
      <c r="M106" s="271"/>
    </row>
    <row r="107" spans="2:13" ht="33" customHeight="1">
      <c r="B107" s="277"/>
      <c r="C107" s="277"/>
      <c r="D107" s="265" t="s">
        <v>73</v>
      </c>
      <c r="E107" s="265"/>
      <c r="F107" s="202"/>
      <c r="G107" s="202">
        <f t="shared" si="48"/>
        <v>956018852</v>
      </c>
      <c r="H107" s="202"/>
      <c r="I107" s="202">
        <f t="shared" si="49"/>
        <v>946971380</v>
      </c>
      <c r="J107" s="210">
        <f t="shared" si="50"/>
        <v>-9047472</v>
      </c>
      <c r="K107" s="271"/>
      <c r="L107" s="271"/>
      <c r="M107" s="271"/>
    </row>
    <row r="108" spans="2:13" ht="33" customHeight="1">
      <c r="B108" s="277"/>
      <c r="C108" s="277"/>
      <c r="D108" s="265" t="s">
        <v>74</v>
      </c>
      <c r="E108" s="265"/>
      <c r="F108" s="202"/>
      <c r="G108" s="202">
        <f t="shared" si="48"/>
        <v>956018852</v>
      </c>
      <c r="H108" s="202"/>
      <c r="I108" s="202">
        <f t="shared" si="49"/>
        <v>921875380</v>
      </c>
      <c r="J108" s="212">
        <f t="shared" si="50"/>
        <v>-34143472</v>
      </c>
      <c r="K108" s="271"/>
      <c r="L108" s="271"/>
      <c r="M108" s="271"/>
    </row>
    <row r="109" spans="2:13" ht="33" customHeight="1">
      <c r="B109" s="277"/>
      <c r="C109" s="277"/>
      <c r="D109" s="265" t="s">
        <v>75</v>
      </c>
      <c r="E109" s="265"/>
      <c r="F109" s="202"/>
      <c r="G109" s="202">
        <f t="shared" si="48"/>
        <v>956018852</v>
      </c>
      <c r="H109" s="202"/>
      <c r="I109" s="202">
        <f t="shared" si="49"/>
        <v>975087380</v>
      </c>
      <c r="J109" s="212">
        <f t="shared" si="50"/>
        <v>19068528</v>
      </c>
      <c r="K109" s="271"/>
      <c r="L109" s="271"/>
      <c r="M109" s="271"/>
    </row>
    <row r="110" spans="2:13" ht="33" customHeight="1">
      <c r="B110" s="277"/>
      <c r="C110" s="277"/>
      <c r="D110" s="265" t="s">
        <v>76</v>
      </c>
      <c r="E110" s="265"/>
      <c r="F110" s="202"/>
      <c r="G110" s="202">
        <f t="shared" si="48"/>
        <v>956018852</v>
      </c>
      <c r="H110" s="202"/>
      <c r="I110" s="202">
        <f t="shared" si="49"/>
        <v>946159380</v>
      </c>
      <c r="J110" s="210">
        <f t="shared" si="50"/>
        <v>-9859472</v>
      </c>
      <c r="K110" s="271"/>
      <c r="L110" s="271"/>
      <c r="M110" s="271"/>
    </row>
    <row r="111" spans="2:13" ht="32.1" customHeight="1">
      <c r="B111" s="276"/>
      <c r="C111" s="276" t="s">
        <v>86</v>
      </c>
      <c r="D111" s="265" t="s">
        <v>61</v>
      </c>
      <c r="E111" s="266">
        <v>6</v>
      </c>
      <c r="F111" s="202">
        <f>G111/E111</f>
        <v>46126944.666666664</v>
      </c>
      <c r="G111" s="202">
        <f>'11 seats (Hiace)'!K15</f>
        <v>276761668</v>
      </c>
      <c r="H111" s="202">
        <f>I111/E111</f>
        <v>45518034.444444448</v>
      </c>
      <c r="I111" s="202">
        <f>'11 seats (Hiace)'!W30</f>
        <v>273108206.66666669</v>
      </c>
      <c r="J111" s="212">
        <f t="shared" si="50"/>
        <v>-3653461.3333333135</v>
      </c>
      <c r="K111" s="270" t="s">
        <v>28</v>
      </c>
      <c r="L111" s="271"/>
      <c r="M111" s="271"/>
    </row>
    <row r="112" spans="2:13" ht="30" customHeight="1">
      <c r="B112" s="277"/>
      <c r="C112" s="277"/>
      <c r="D112" s="265" t="s">
        <v>63</v>
      </c>
      <c r="E112" s="266">
        <v>4</v>
      </c>
      <c r="F112" s="202">
        <f>G112/E112</f>
        <v>0</v>
      </c>
      <c r="G112" s="202"/>
      <c r="H112" s="202">
        <f>I112/E112</f>
        <v>47454601.666666657</v>
      </c>
      <c r="I112" s="244">
        <f>'11 seats (Hiace)'!AK59</f>
        <v>189818406.66666663</v>
      </c>
      <c r="J112" s="212">
        <f t="shared" si="50"/>
        <v>189818406.66666663</v>
      </c>
      <c r="K112" s="271"/>
      <c r="L112" s="271"/>
      <c r="M112" s="271"/>
    </row>
    <row r="113" spans="2:13" ht="33" customHeight="1">
      <c r="B113" s="277"/>
      <c r="C113" s="277"/>
      <c r="D113" s="267" t="s">
        <v>87</v>
      </c>
      <c r="E113" s="265">
        <v>2</v>
      </c>
      <c r="F113" s="218"/>
      <c r="G113" s="218"/>
      <c r="H113" s="202">
        <f>'11 seats (Hiace)'!U60</f>
        <v>55697000</v>
      </c>
      <c r="I113" s="202">
        <f t="shared" ref="I113:I116" si="51">H113*$E$113</f>
        <v>111394000</v>
      </c>
      <c r="J113" s="219"/>
      <c r="K113" s="271"/>
      <c r="L113" s="271"/>
      <c r="M113" s="271"/>
    </row>
    <row r="114" spans="2:13" ht="33" customHeight="1">
      <c r="B114" s="277"/>
      <c r="C114" s="277"/>
      <c r="D114" s="267" t="s">
        <v>88</v>
      </c>
      <c r="E114" s="265">
        <v>2</v>
      </c>
      <c r="F114" s="218"/>
      <c r="G114" s="218"/>
      <c r="H114" s="202">
        <f>'11 seats (Hiace)'!U74</f>
        <v>51602000</v>
      </c>
      <c r="I114" s="214">
        <f t="shared" si="51"/>
        <v>103204000</v>
      </c>
      <c r="J114" s="219"/>
      <c r="K114" s="271">
        <f>I114-I116</f>
        <v>12142000</v>
      </c>
      <c r="L114" s="271"/>
      <c r="M114" s="271"/>
    </row>
    <row r="115" spans="2:13" ht="33" customHeight="1">
      <c r="B115" s="277"/>
      <c r="C115" s="277"/>
      <c r="D115" s="267" t="s">
        <v>89</v>
      </c>
      <c r="E115" s="265">
        <v>2</v>
      </c>
      <c r="F115" s="218"/>
      <c r="G115" s="218"/>
      <c r="H115" s="202">
        <f>'11 seats (Transit)'!U96</f>
        <v>48668000</v>
      </c>
      <c r="I115" s="202">
        <f t="shared" si="51"/>
        <v>97336000</v>
      </c>
      <c r="J115" s="219"/>
      <c r="K115" s="271"/>
      <c r="L115" s="271"/>
      <c r="M115" s="271"/>
    </row>
    <row r="116" spans="2:13" ht="33" customHeight="1">
      <c r="B116" s="277"/>
      <c r="C116" s="277"/>
      <c r="D116" s="267" t="s">
        <v>90</v>
      </c>
      <c r="E116" s="265">
        <v>2</v>
      </c>
      <c r="F116" s="218"/>
      <c r="G116" s="218"/>
      <c r="H116" s="202">
        <f>'11 seats (Transit)'!U126</f>
        <v>45531000</v>
      </c>
      <c r="I116" s="214">
        <f t="shared" si="51"/>
        <v>91062000</v>
      </c>
      <c r="J116" s="219"/>
      <c r="K116" s="271"/>
      <c r="L116" s="271"/>
      <c r="M116" s="271"/>
    </row>
    <row r="117" spans="2:13" ht="33" customHeight="1">
      <c r="B117" s="277"/>
      <c r="C117" s="277"/>
      <c r="D117" s="267" t="s">
        <v>91</v>
      </c>
      <c r="E117" s="265" t="s">
        <v>193</v>
      </c>
      <c r="F117" s="218"/>
      <c r="G117" s="218"/>
      <c r="H117" s="202">
        <f>I117/E113</f>
        <v>52182500</v>
      </c>
      <c r="I117" s="202">
        <f>H113+H115</f>
        <v>104365000</v>
      </c>
      <c r="J117" s="219"/>
      <c r="K117" s="271"/>
      <c r="L117" s="271"/>
      <c r="M117" s="271"/>
    </row>
    <row r="118" spans="2:13" ht="33" customHeight="1">
      <c r="B118" s="277"/>
      <c r="C118" s="277"/>
      <c r="D118" s="267" t="s">
        <v>93</v>
      </c>
      <c r="E118" s="265" t="s">
        <v>193</v>
      </c>
      <c r="F118" s="218"/>
      <c r="G118" s="218"/>
      <c r="H118" s="202">
        <f>I118/4</f>
        <v>24283250</v>
      </c>
      <c r="I118" s="202">
        <f>H114+H116</f>
        <v>97133000</v>
      </c>
      <c r="J118" s="219"/>
      <c r="K118" s="271"/>
      <c r="L118" s="271"/>
      <c r="M118" s="271"/>
    </row>
    <row r="119" spans="2:13" ht="33" customHeight="1">
      <c r="B119" s="277"/>
      <c r="C119" s="277"/>
      <c r="D119" s="265" t="s">
        <v>71</v>
      </c>
      <c r="E119" s="265"/>
      <c r="F119" s="202"/>
      <c r="G119" s="202">
        <f t="shared" ref="G119:G124" si="52">$G$111</f>
        <v>276761668</v>
      </c>
      <c r="H119" s="202"/>
      <c r="I119" s="202">
        <f t="shared" ref="I119:I124" si="53">$I$112+I113</f>
        <v>301212406.66666663</v>
      </c>
      <c r="J119" s="212">
        <f t="shared" ref="J119:J127" si="54">+I119-G119</f>
        <v>24450738.666666627</v>
      </c>
      <c r="K119" s="271"/>
      <c r="L119" s="271"/>
      <c r="M119" s="271"/>
    </row>
    <row r="120" spans="2:13" ht="33" customHeight="1">
      <c r="B120" s="277"/>
      <c r="C120" s="277"/>
      <c r="D120" s="265" t="s">
        <v>72</v>
      </c>
      <c r="E120" s="265"/>
      <c r="F120" s="202"/>
      <c r="G120" s="202">
        <f t="shared" si="52"/>
        <v>276761668</v>
      </c>
      <c r="H120" s="202"/>
      <c r="I120" s="243">
        <f>$I$112+I114</f>
        <v>293022406.66666663</v>
      </c>
      <c r="J120" s="212">
        <f t="shared" si="54"/>
        <v>16260738.666666627</v>
      </c>
      <c r="K120" s="271"/>
      <c r="L120" s="271"/>
      <c r="M120" s="271"/>
    </row>
    <row r="121" spans="2:13" ht="33" customHeight="1">
      <c r="B121" s="277"/>
      <c r="C121" s="277"/>
      <c r="D121" s="265" t="s">
        <v>73</v>
      </c>
      <c r="E121" s="265"/>
      <c r="F121" s="202"/>
      <c r="G121" s="202">
        <f t="shared" si="52"/>
        <v>276761668</v>
      </c>
      <c r="H121" s="202"/>
      <c r="I121" s="202">
        <f t="shared" si="53"/>
        <v>287154406.66666663</v>
      </c>
      <c r="J121" s="210">
        <f t="shared" si="54"/>
        <v>10392738.666666627</v>
      </c>
      <c r="K121" s="271"/>
      <c r="L121" s="271"/>
      <c r="M121" s="271"/>
    </row>
    <row r="122" spans="2:13" ht="33" customHeight="1">
      <c r="B122" s="277"/>
      <c r="C122" s="277"/>
      <c r="D122" s="265" t="s">
        <v>74</v>
      </c>
      <c r="E122" s="265"/>
      <c r="F122" s="202"/>
      <c r="G122" s="202">
        <f t="shared" si="52"/>
        <v>276761668</v>
      </c>
      <c r="H122" s="202"/>
      <c r="I122" s="202">
        <f t="shared" si="53"/>
        <v>280880406.66666663</v>
      </c>
      <c r="J122" s="212">
        <f t="shared" si="54"/>
        <v>4118738.6666666269</v>
      </c>
      <c r="K122" s="271"/>
      <c r="L122" s="271"/>
      <c r="M122" s="271"/>
    </row>
    <row r="123" spans="2:13" ht="33" customHeight="1">
      <c r="B123" s="277"/>
      <c r="C123" s="277"/>
      <c r="D123" s="265" t="s">
        <v>75</v>
      </c>
      <c r="E123" s="265"/>
      <c r="F123" s="202"/>
      <c r="G123" s="202">
        <f t="shared" si="52"/>
        <v>276761668</v>
      </c>
      <c r="H123" s="202"/>
      <c r="I123" s="202">
        <f t="shared" si="53"/>
        <v>294183406.66666663</v>
      </c>
      <c r="J123" s="212">
        <f t="shared" si="54"/>
        <v>17421738.666666627</v>
      </c>
      <c r="K123" s="271"/>
      <c r="L123" s="271"/>
      <c r="M123" s="271"/>
    </row>
    <row r="124" spans="2:13" ht="33" customHeight="1">
      <c r="B124" s="277"/>
      <c r="C124" s="277"/>
      <c r="D124" s="265" t="s">
        <v>76</v>
      </c>
      <c r="E124" s="265"/>
      <c r="F124" s="202"/>
      <c r="G124" s="202">
        <f t="shared" si="52"/>
        <v>276761668</v>
      </c>
      <c r="H124" s="202"/>
      <c r="I124" s="202">
        <f t="shared" si="53"/>
        <v>286951406.66666663</v>
      </c>
      <c r="J124" s="210">
        <f t="shared" si="54"/>
        <v>10189738.666666627</v>
      </c>
      <c r="K124" s="271"/>
      <c r="L124" s="271"/>
      <c r="M124" s="271"/>
    </row>
    <row r="125" spans="2:13" ht="33" customHeight="1">
      <c r="B125" s="277"/>
      <c r="C125" s="276" t="s">
        <v>94</v>
      </c>
      <c r="D125" s="265" t="s">
        <v>10</v>
      </c>
      <c r="E125" s="266">
        <v>2</v>
      </c>
      <c r="F125" s="202">
        <f>G125/E125</f>
        <v>42076167</v>
      </c>
      <c r="G125" s="202">
        <f>+'11 seats (Hiace)'!E89</f>
        <v>84152334</v>
      </c>
      <c r="H125" s="202">
        <f>I125/E125</f>
        <v>40670200</v>
      </c>
      <c r="I125" s="202">
        <f>+'11 seats (Hiace)'!E118</f>
        <v>81340400</v>
      </c>
      <c r="J125" s="212">
        <f t="shared" si="54"/>
        <v>-2811934</v>
      </c>
      <c r="K125" s="271"/>
      <c r="L125" s="271"/>
      <c r="M125" s="271"/>
    </row>
    <row r="126" spans="2:13" ht="33" customHeight="1">
      <c r="B126" s="277"/>
      <c r="C126" s="277"/>
      <c r="D126" s="265" t="s">
        <v>15</v>
      </c>
      <c r="E126" s="266">
        <v>1</v>
      </c>
      <c r="F126" s="202">
        <f>'11 seats (Hiace)'!H89</f>
        <v>65468368</v>
      </c>
      <c r="G126" s="202">
        <f>+F126*E126</f>
        <v>65468368</v>
      </c>
      <c r="H126" s="202">
        <f>'11 seats (Hiace)'!H133</f>
        <v>50805600</v>
      </c>
      <c r="I126" s="202">
        <f>+H126*E126</f>
        <v>50805600</v>
      </c>
      <c r="J126" s="212">
        <f t="shared" si="54"/>
        <v>-14662768</v>
      </c>
      <c r="K126" s="271"/>
      <c r="L126" s="271"/>
      <c r="M126" s="271"/>
    </row>
    <row r="127" spans="2:13" ht="33" customHeight="1">
      <c r="B127" s="277"/>
      <c r="C127" s="278"/>
      <c r="D127" s="265" t="s">
        <v>17</v>
      </c>
      <c r="E127" s="266">
        <v>1</v>
      </c>
      <c r="F127" s="202">
        <f>'11 seats (Hiace)'!K89</f>
        <v>65021968</v>
      </c>
      <c r="G127" s="202">
        <f>+F127*E127</f>
        <v>65021968</v>
      </c>
      <c r="H127" s="202">
        <f>'11 seats (Hiace)'!K133</f>
        <v>47993000</v>
      </c>
      <c r="I127" s="202">
        <f>+H127*E127</f>
        <v>47993000</v>
      </c>
      <c r="J127" s="212">
        <f t="shared" si="54"/>
        <v>-17028968</v>
      </c>
      <c r="K127" s="271"/>
      <c r="L127" s="271"/>
      <c r="M127" s="271"/>
    </row>
    <row r="129" spans="2:13">
      <c r="B129" s="7"/>
      <c r="C129" s="7" t="s">
        <v>10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spans="2:13">
      <c r="B130" s="7"/>
      <c r="C130" s="7" t="s">
        <v>15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2:13">
      <c r="B131" s="7"/>
      <c r="C131" s="7" t="s">
        <v>17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3" spans="2:13" ht="23.1" customHeight="1">
      <c r="B133" s="312" t="s">
        <v>136</v>
      </c>
      <c r="C133" s="313"/>
      <c r="D133" s="259" t="s">
        <v>97</v>
      </c>
      <c r="E133" s="259" t="s">
        <v>98</v>
      </c>
      <c r="F133" s="259" t="s">
        <v>99</v>
      </c>
      <c r="G133" s="259" t="s">
        <v>100</v>
      </c>
      <c r="H133" s="259" t="s">
        <v>101</v>
      </c>
      <c r="I133" s="259" t="s">
        <v>102</v>
      </c>
      <c r="J133" s="259" t="s">
        <v>103</v>
      </c>
      <c r="K133" s="259" t="s">
        <v>117</v>
      </c>
    </row>
    <row r="134" spans="2:13" ht="57.95" customHeight="1">
      <c r="B134" s="313"/>
      <c r="C134" s="313"/>
      <c r="D134" s="229" t="s">
        <v>113</v>
      </c>
      <c r="E134" s="222" t="s">
        <v>130</v>
      </c>
      <c r="F134" s="222" t="s">
        <v>131</v>
      </c>
      <c r="G134" s="222" t="s">
        <v>132</v>
      </c>
      <c r="H134" s="223" t="s">
        <v>133</v>
      </c>
      <c r="I134" s="222" t="s">
        <v>114</v>
      </c>
      <c r="J134" s="221" t="s">
        <v>115</v>
      </c>
      <c r="K134" s="223" t="s">
        <v>195</v>
      </c>
    </row>
    <row r="135" spans="2:13" s="161" customFormat="1" ht="23.1" customHeight="1">
      <c r="B135" s="283" t="s">
        <v>10</v>
      </c>
      <c r="C135" s="224" t="s">
        <v>3</v>
      </c>
      <c r="D135" s="225">
        <f>$G$50+$G$51+$G$59+$G$83+$G$125</f>
        <v>1345458283.4642859</v>
      </c>
      <c r="E135" s="225">
        <f t="shared" ref="E135:K135" si="55">$D$135</f>
        <v>1345458283.4642859</v>
      </c>
      <c r="F135" s="225">
        <f t="shared" si="55"/>
        <v>1345458283.4642859</v>
      </c>
      <c r="G135" s="225">
        <f t="shared" si="55"/>
        <v>1345458283.4642859</v>
      </c>
      <c r="H135" s="225">
        <f t="shared" si="55"/>
        <v>1345458283.4642859</v>
      </c>
      <c r="I135" s="225">
        <f t="shared" si="55"/>
        <v>1345458283.4642859</v>
      </c>
      <c r="J135" s="225">
        <f t="shared" si="55"/>
        <v>1345458283.4642859</v>
      </c>
      <c r="K135" s="231">
        <f t="shared" si="55"/>
        <v>1345458283.4642859</v>
      </c>
    </row>
    <row r="136" spans="2:13" s="161" customFormat="1" ht="23.1" customHeight="1">
      <c r="B136" s="283"/>
      <c r="C136" s="226" t="s">
        <v>42</v>
      </c>
      <c r="D136" s="225">
        <f>$I$50+$I$51+$I$59+$I$83+$I$125</f>
        <v>1282682642.4642859</v>
      </c>
      <c r="E136" s="225">
        <f t="shared" ref="E136:J136" si="56">$D$136</f>
        <v>1282682642.4642859</v>
      </c>
      <c r="F136" s="225">
        <f t="shared" si="56"/>
        <v>1282682642.4642859</v>
      </c>
      <c r="G136" s="225">
        <f t="shared" si="56"/>
        <v>1282682642.4642859</v>
      </c>
      <c r="H136" s="225">
        <f t="shared" si="56"/>
        <v>1282682642.4642859</v>
      </c>
      <c r="I136" s="225">
        <f t="shared" si="56"/>
        <v>1282682642.4642859</v>
      </c>
      <c r="J136" s="225">
        <f t="shared" si="56"/>
        <v>1282682642.4642859</v>
      </c>
      <c r="K136" s="225">
        <f>$I$50+$I$51+I59+$I$83+$I$125</f>
        <v>1282682642.4642859</v>
      </c>
    </row>
    <row r="137" spans="2:13" s="161" customFormat="1" ht="23.1" customHeight="1">
      <c r="B137" s="283"/>
      <c r="C137" s="227" t="s">
        <v>43</v>
      </c>
      <c r="D137" s="228">
        <f t="shared" ref="D137:K137" si="57">D136-D135</f>
        <v>-62775641</v>
      </c>
      <c r="E137" s="228">
        <f t="shared" si="57"/>
        <v>-62775641</v>
      </c>
      <c r="F137" s="228">
        <f t="shared" si="57"/>
        <v>-62775641</v>
      </c>
      <c r="G137" s="228">
        <f t="shared" si="57"/>
        <v>-62775641</v>
      </c>
      <c r="H137" s="228">
        <f t="shared" si="57"/>
        <v>-62775641</v>
      </c>
      <c r="I137" s="228">
        <f t="shared" si="57"/>
        <v>-62775641</v>
      </c>
      <c r="J137" s="228">
        <f t="shared" si="57"/>
        <v>-62775641</v>
      </c>
      <c r="K137" s="232">
        <f t="shared" si="57"/>
        <v>-62775641</v>
      </c>
    </row>
    <row r="138" spans="2:13" s="205" customFormat="1" ht="35.1" customHeight="1">
      <c r="B138" s="284"/>
      <c r="C138" s="132" t="s">
        <v>8</v>
      </c>
      <c r="D138" s="266" t="s">
        <v>137</v>
      </c>
      <c r="E138" s="306" t="s">
        <v>138</v>
      </c>
      <c r="F138" s="307"/>
      <c r="G138" s="306" t="s">
        <v>139</v>
      </c>
      <c r="H138" s="307"/>
      <c r="I138" s="308" t="s">
        <v>140</v>
      </c>
      <c r="J138" s="309"/>
      <c r="K138" s="233" t="s">
        <v>141</v>
      </c>
    </row>
    <row r="139" spans="2:13" s="161" customFormat="1" ht="23.1" customHeight="1">
      <c r="B139" s="282" t="s">
        <v>15</v>
      </c>
      <c r="C139" s="226" t="s">
        <v>3</v>
      </c>
      <c r="D139" s="225">
        <f>$G$56+$G$60+$G$63+$G$97+$G$126</f>
        <v>1335895977</v>
      </c>
      <c r="E139" s="225">
        <f t="shared" ref="E139:K139" si="58">$D$139</f>
        <v>1335895977</v>
      </c>
      <c r="F139" s="225">
        <f t="shared" si="58"/>
        <v>1335895977</v>
      </c>
      <c r="G139" s="225">
        <f t="shared" si="58"/>
        <v>1335895977</v>
      </c>
      <c r="H139" s="225">
        <f t="shared" si="58"/>
        <v>1335895977</v>
      </c>
      <c r="I139" s="225">
        <f t="shared" si="58"/>
        <v>1335895977</v>
      </c>
      <c r="J139" s="225">
        <f t="shared" si="58"/>
        <v>1335895977</v>
      </c>
      <c r="K139" s="231">
        <f t="shared" si="58"/>
        <v>1335895977</v>
      </c>
    </row>
    <row r="140" spans="2:13" s="161" customFormat="1" ht="23.1" customHeight="1">
      <c r="B140" s="283"/>
      <c r="C140" s="226" t="s">
        <v>42</v>
      </c>
      <c r="D140" s="225">
        <f>$I$52+$I$60+$I$63+I97+$I$126</f>
        <v>1272644723.7777777</v>
      </c>
      <c r="E140" s="225">
        <f>$I$52+$I$60+$I$63+I105+$I$126</f>
        <v>1385061523.7777777</v>
      </c>
      <c r="F140" s="225">
        <f>$I$52+$I$60+$I$63+I106+$I$126</f>
        <v>1352301523.7777777</v>
      </c>
      <c r="G140" s="225">
        <f>$I$52+$I$60+$I$63+I107+$I$126</f>
        <v>1328829523.7777777</v>
      </c>
      <c r="H140" s="225">
        <f>$I$52+$I$60+$I$63+I108+$I$126</f>
        <v>1303733523.7777777</v>
      </c>
      <c r="I140" s="225">
        <f>$I$52+$I$60+$I$63+I109+$I$126</f>
        <v>1356945523.7777777</v>
      </c>
      <c r="J140" s="225">
        <f>$I$52+$I$60+$I$63+I110+$I$126</f>
        <v>1328017523.7777777</v>
      </c>
      <c r="K140" s="225">
        <f>I52+I66+I69+I106+I126</f>
        <v>1378496540</v>
      </c>
    </row>
    <row r="141" spans="2:13" s="161" customFormat="1" ht="23.1" customHeight="1">
      <c r="B141" s="283"/>
      <c r="C141" s="227" t="s">
        <v>43</v>
      </c>
      <c r="D141" s="228">
        <f t="shared" ref="D141:K141" si="59">D140-D139</f>
        <v>-63251253.222222328</v>
      </c>
      <c r="E141" s="228">
        <f t="shared" si="59"/>
        <v>49165546.777777672</v>
      </c>
      <c r="F141" s="228">
        <f t="shared" si="59"/>
        <v>16405546.777777672</v>
      </c>
      <c r="G141" s="228">
        <f t="shared" si="59"/>
        <v>-7066453.2222223282</v>
      </c>
      <c r="H141" s="228">
        <f t="shared" si="59"/>
        <v>-32162453.222222328</v>
      </c>
      <c r="I141" s="228">
        <f t="shared" si="59"/>
        <v>21049546.777777672</v>
      </c>
      <c r="J141" s="228">
        <f t="shared" si="59"/>
        <v>-7878453.2222223282</v>
      </c>
      <c r="K141" s="232">
        <f t="shared" si="59"/>
        <v>42600563</v>
      </c>
    </row>
    <row r="142" spans="2:13" s="161" customFormat="1" ht="39" customHeight="1">
      <c r="B142" s="284"/>
      <c r="C142" s="226" t="s">
        <v>8</v>
      </c>
      <c r="D142" s="266" t="s">
        <v>113</v>
      </c>
      <c r="E142" s="306" t="s">
        <v>142</v>
      </c>
      <c r="F142" s="307"/>
      <c r="G142" s="306" t="s">
        <v>143</v>
      </c>
      <c r="H142" s="307"/>
      <c r="I142" s="310" t="s">
        <v>144</v>
      </c>
      <c r="J142" s="311"/>
      <c r="K142" s="190" t="s">
        <v>145</v>
      </c>
    </row>
    <row r="143" spans="2:13" s="161" customFormat="1" ht="23.1" customHeight="1">
      <c r="B143" s="282" t="s">
        <v>17</v>
      </c>
      <c r="C143" s="226" t="s">
        <v>3</v>
      </c>
      <c r="D143" s="225">
        <f>$G$53+$G$61+$G$62+$G$111+$G$127</f>
        <v>651761479</v>
      </c>
      <c r="E143" s="225">
        <f t="shared" ref="E143:K143" si="60">$D$143</f>
        <v>651761479</v>
      </c>
      <c r="F143" s="225">
        <f t="shared" si="60"/>
        <v>651761479</v>
      </c>
      <c r="G143" s="225">
        <f t="shared" si="60"/>
        <v>651761479</v>
      </c>
      <c r="H143" s="225">
        <f t="shared" si="60"/>
        <v>651761479</v>
      </c>
      <c r="I143" s="225">
        <f t="shared" si="60"/>
        <v>651761479</v>
      </c>
      <c r="J143" s="225">
        <f t="shared" si="60"/>
        <v>651761479</v>
      </c>
      <c r="K143" s="231">
        <f t="shared" si="60"/>
        <v>651761479</v>
      </c>
    </row>
    <row r="144" spans="2:13" s="161" customFormat="1" ht="23.1" customHeight="1">
      <c r="B144" s="283"/>
      <c r="C144" s="226" t="s">
        <v>42</v>
      </c>
      <c r="D144" s="225">
        <f>$I$53+$I$61+$I$62+I111+$I$127</f>
        <v>641669910.66666675</v>
      </c>
      <c r="E144" s="225">
        <f>$I$53+$I$61+$I$62+I119+$I$127</f>
        <v>669774110.66666663</v>
      </c>
      <c r="F144" s="225">
        <f>$I$53+$I$61+$I$62+I120+$I$127</f>
        <v>661584110.66666663</v>
      </c>
      <c r="G144" s="225">
        <f>$I$53+$I$61+$I$62+I121+$I$127</f>
        <v>655716110.66666663</v>
      </c>
      <c r="H144" s="225">
        <f>$I$53+$I$61+$I$62+I122+$I$127</f>
        <v>649442110.66666663</v>
      </c>
      <c r="I144" s="225">
        <f>$I$53+$I$61+$I$62+I123+$I$127</f>
        <v>662745110.66666663</v>
      </c>
      <c r="J144" s="225">
        <f>$I$53+$I$61+$I$62+I124+$I$127</f>
        <v>655513110.66666663</v>
      </c>
      <c r="K144" s="225">
        <f>$I$53+I67+I68+I120+$I$127</f>
        <v>686326580</v>
      </c>
    </row>
    <row r="145" spans="2:12" s="161" customFormat="1" ht="23.1" customHeight="1">
      <c r="B145" s="283"/>
      <c r="C145" s="227" t="s">
        <v>43</v>
      </c>
      <c r="D145" s="228">
        <f t="shared" ref="D145:K145" si="61">D144-D143</f>
        <v>-10091568.333333254</v>
      </c>
      <c r="E145" s="228">
        <f t="shared" si="61"/>
        <v>18012631.666666627</v>
      </c>
      <c r="F145" s="228">
        <f t="shared" si="61"/>
        <v>9822631.6666666269</v>
      </c>
      <c r="G145" s="228">
        <f t="shared" si="61"/>
        <v>3954631.6666666269</v>
      </c>
      <c r="H145" s="228">
        <f t="shared" si="61"/>
        <v>-2319368.3333333731</v>
      </c>
      <c r="I145" s="228">
        <f t="shared" si="61"/>
        <v>10983631.666666627</v>
      </c>
      <c r="J145" s="228">
        <f t="shared" si="61"/>
        <v>3751631.6666666269</v>
      </c>
      <c r="K145" s="232">
        <f t="shared" si="61"/>
        <v>34565101</v>
      </c>
    </row>
    <row r="146" spans="2:12" s="161" customFormat="1" ht="38.1" customHeight="1">
      <c r="B146" s="284"/>
      <c r="C146" s="226" t="s">
        <v>8</v>
      </c>
      <c r="D146" s="266" t="s">
        <v>113</v>
      </c>
      <c r="E146" s="310" t="s">
        <v>146</v>
      </c>
      <c r="F146" s="311"/>
      <c r="G146" s="310" t="s">
        <v>147</v>
      </c>
      <c r="H146" s="311"/>
      <c r="I146" s="310" t="s">
        <v>148</v>
      </c>
      <c r="J146" s="311"/>
      <c r="K146" s="190" t="s">
        <v>149</v>
      </c>
    </row>
    <row r="147" spans="2:12" s="161" customFormat="1" ht="23.1" customHeight="1">
      <c r="B147" s="282" t="s">
        <v>111</v>
      </c>
      <c r="C147" s="226" t="s">
        <v>3</v>
      </c>
      <c r="D147" s="225">
        <f>$D$135+$D$139+$D$143</f>
        <v>3333115739.4642859</v>
      </c>
      <c r="E147" s="225">
        <f t="shared" ref="E147:K148" si="62">E135+E139+E143</f>
        <v>3333115739.4642859</v>
      </c>
      <c r="F147" s="225">
        <f t="shared" si="62"/>
        <v>3333115739.4642859</v>
      </c>
      <c r="G147" s="225">
        <f t="shared" si="62"/>
        <v>3333115739.4642859</v>
      </c>
      <c r="H147" s="225">
        <f t="shared" si="62"/>
        <v>3333115739.4642859</v>
      </c>
      <c r="I147" s="225">
        <f t="shared" si="62"/>
        <v>3333115739.4642859</v>
      </c>
      <c r="J147" s="225">
        <f t="shared" si="62"/>
        <v>3333115739.4642859</v>
      </c>
      <c r="K147" s="231">
        <f t="shared" si="62"/>
        <v>3333115739.4642859</v>
      </c>
    </row>
    <row r="148" spans="2:12" s="161" customFormat="1" ht="23.1" customHeight="1">
      <c r="B148" s="283"/>
      <c r="C148" s="226" t="s">
        <v>42</v>
      </c>
      <c r="D148" s="225">
        <f>$D$136+$D$140+$D$144</f>
        <v>3196997276.9087305</v>
      </c>
      <c r="E148" s="225">
        <f t="shared" si="62"/>
        <v>3337518276.90873</v>
      </c>
      <c r="F148" s="225">
        <f t="shared" si="62"/>
        <v>3296568276.90873</v>
      </c>
      <c r="G148" s="225">
        <f t="shared" si="62"/>
        <v>3267228276.90873</v>
      </c>
      <c r="H148" s="225">
        <f t="shared" si="62"/>
        <v>3235858276.90873</v>
      </c>
      <c r="I148" s="225">
        <f t="shared" si="62"/>
        <v>3302373276.90873</v>
      </c>
      <c r="J148" s="225">
        <f t="shared" si="62"/>
        <v>3266213276.90873</v>
      </c>
      <c r="K148" s="231">
        <f t="shared" si="62"/>
        <v>3347505762.4642859</v>
      </c>
    </row>
    <row r="149" spans="2:12" s="161" customFormat="1" ht="23.1" customHeight="1">
      <c r="B149" s="283"/>
      <c r="C149" s="227" t="s">
        <v>43</v>
      </c>
      <c r="D149" s="228">
        <f t="shared" ref="D149:K149" si="63">D148-D147</f>
        <v>-136118462.55555534</v>
      </c>
      <c r="E149" s="228">
        <f t="shared" si="63"/>
        <v>4402537.4444441795</v>
      </c>
      <c r="F149" s="228">
        <f t="shared" si="63"/>
        <v>-36547462.55555582</v>
      </c>
      <c r="G149" s="228">
        <f t="shared" si="63"/>
        <v>-65887462.55555582</v>
      </c>
      <c r="H149" s="228">
        <f t="shared" si="63"/>
        <v>-97257462.55555582</v>
      </c>
      <c r="I149" s="228">
        <f t="shared" si="63"/>
        <v>-30742462.55555582</v>
      </c>
      <c r="J149" s="228">
        <f t="shared" si="63"/>
        <v>-66902462.55555582</v>
      </c>
      <c r="K149" s="232">
        <f t="shared" si="63"/>
        <v>14390023</v>
      </c>
    </row>
    <row r="150" spans="2:12" s="161" customFormat="1" ht="23.1" customHeight="1">
      <c r="B150" s="284"/>
      <c r="C150" s="226" t="s">
        <v>8</v>
      </c>
      <c r="D150" s="204">
        <f>+D148/23000</f>
        <v>138999.88160472742</v>
      </c>
      <c r="E150" s="226"/>
      <c r="F150" s="226"/>
      <c r="G150" s="226"/>
      <c r="H150" s="226"/>
      <c r="I150" s="226"/>
      <c r="J150" s="226"/>
      <c r="K150" s="234"/>
    </row>
    <row r="151" spans="2:12">
      <c r="K151" s="195"/>
    </row>
    <row r="152" spans="2:12">
      <c r="B152" t="s">
        <v>10</v>
      </c>
      <c r="C152" s="21">
        <f>I50+I51+I65+I83+I125</f>
        <v>1322141964.4642859</v>
      </c>
      <c r="D152" s="21">
        <f t="shared" ref="D152:K152" si="64">D149/23000</f>
        <v>-5918.1940241545799</v>
      </c>
      <c r="E152" s="21">
        <f t="shared" si="64"/>
        <v>191.41467149757301</v>
      </c>
      <c r="F152" s="254">
        <f t="shared" si="64"/>
        <v>-1589.0201111111226</v>
      </c>
      <c r="G152" s="21">
        <f t="shared" si="64"/>
        <v>-2864.6722850241663</v>
      </c>
      <c r="H152" s="21">
        <f t="shared" si="64"/>
        <v>-4228.5853285024268</v>
      </c>
      <c r="I152" s="21">
        <f t="shared" si="64"/>
        <v>-1336.6288067632966</v>
      </c>
      <c r="J152" s="21">
        <f t="shared" si="64"/>
        <v>-2908.8027198067748</v>
      </c>
      <c r="K152" s="235">
        <f t="shared" si="64"/>
        <v>625.65317391304347</v>
      </c>
      <c r="L152" s="235"/>
    </row>
    <row r="153" spans="2:12">
      <c r="B153" t="s">
        <v>15</v>
      </c>
      <c r="C153" s="21">
        <f>I52+I66+I69+I97+I126</f>
        <v>1298839740</v>
      </c>
      <c r="D153" s="21"/>
      <c r="K153" s="195"/>
    </row>
    <row r="154" spans="2:12">
      <c r="B154" t="s">
        <v>17</v>
      </c>
      <c r="C154" s="21">
        <f>I53+I68+I67+I111+I127</f>
        <v>666412380</v>
      </c>
      <c r="D154" s="21">
        <f>(C152+C153+C154)</f>
        <v>3287394084.4642859</v>
      </c>
      <c r="E154" s="21">
        <f>D154-D147</f>
        <v>-45721655</v>
      </c>
      <c r="F154" s="166">
        <f>D154/23000</f>
        <v>142930.17758540373</v>
      </c>
      <c r="K154" s="195"/>
    </row>
    <row r="155" spans="2:12">
      <c r="E155" s="166">
        <f>E154/23000</f>
        <v>-1987.8980434782609</v>
      </c>
      <c r="K155" s="195"/>
    </row>
    <row r="156" spans="2:12" ht="23.1" customHeight="1">
      <c r="B156" s="314" t="s">
        <v>150</v>
      </c>
      <c r="C156" s="314"/>
      <c r="D156" s="259" t="s">
        <v>97</v>
      </c>
      <c r="E156" s="259" t="s">
        <v>98</v>
      </c>
      <c r="F156" s="259" t="s">
        <v>99</v>
      </c>
      <c r="G156" s="259" t="s">
        <v>100</v>
      </c>
      <c r="H156" s="259" t="s">
        <v>101</v>
      </c>
      <c r="I156" s="259" t="s">
        <v>102</v>
      </c>
      <c r="J156" s="259" t="s">
        <v>103</v>
      </c>
      <c r="K156" s="259" t="s">
        <v>117</v>
      </c>
    </row>
    <row r="157" spans="2:12" ht="65.25" customHeight="1">
      <c r="B157" s="314"/>
      <c r="C157" s="314"/>
      <c r="D157" s="229" t="s">
        <v>113</v>
      </c>
      <c r="E157" s="222" t="s">
        <v>130</v>
      </c>
      <c r="F157" s="223" t="s">
        <v>131</v>
      </c>
      <c r="G157" s="222" t="s">
        <v>132</v>
      </c>
      <c r="H157" s="223" t="s">
        <v>133</v>
      </c>
      <c r="I157" s="222" t="s">
        <v>114</v>
      </c>
      <c r="J157" s="223" t="s">
        <v>115</v>
      </c>
      <c r="K157" s="222" t="s">
        <v>116</v>
      </c>
    </row>
    <row r="158" spans="2:12" s="161" customFormat="1" ht="23.1" customHeight="1">
      <c r="B158" s="282" t="s">
        <v>10</v>
      </c>
      <c r="C158" s="226" t="s">
        <v>3</v>
      </c>
      <c r="D158" s="225">
        <f>$G$50+$G$51+$G$59+$G$83+$G$125</f>
        <v>1345458283.4642859</v>
      </c>
      <c r="E158" s="225">
        <f t="shared" ref="E158:K158" si="65">$D$135</f>
        <v>1345458283.4642859</v>
      </c>
      <c r="F158" s="225">
        <f t="shared" si="65"/>
        <v>1345458283.4642859</v>
      </c>
      <c r="G158" s="225">
        <f t="shared" si="65"/>
        <v>1345458283.4642859</v>
      </c>
      <c r="H158" s="225">
        <f t="shared" si="65"/>
        <v>1345458283.4642859</v>
      </c>
      <c r="I158" s="225">
        <f t="shared" si="65"/>
        <v>1345458283.4642859</v>
      </c>
      <c r="J158" s="225">
        <f t="shared" si="65"/>
        <v>1345458283.4642859</v>
      </c>
      <c r="K158" s="231">
        <f t="shared" si="65"/>
        <v>1345458283.4642859</v>
      </c>
    </row>
    <row r="159" spans="2:12" s="161" customFormat="1" ht="23.1" customHeight="1">
      <c r="B159" s="283"/>
      <c r="C159" s="226" t="s">
        <v>42</v>
      </c>
      <c r="D159" s="225">
        <f>$I$50+$I$51+I77+$I$83+$I$125</f>
        <v>1268952878.4642859</v>
      </c>
      <c r="E159" s="225">
        <f t="shared" ref="E159:J159" si="66">$D$159</f>
        <v>1268952878.4642859</v>
      </c>
      <c r="F159" s="225">
        <f t="shared" si="66"/>
        <v>1268952878.4642859</v>
      </c>
      <c r="G159" s="225">
        <f t="shared" si="66"/>
        <v>1268952878.4642859</v>
      </c>
      <c r="H159" s="225">
        <f t="shared" si="66"/>
        <v>1268952878.4642859</v>
      </c>
      <c r="I159" s="225">
        <f t="shared" si="66"/>
        <v>1268952878.4642859</v>
      </c>
      <c r="J159" s="225">
        <f t="shared" si="66"/>
        <v>1268952878.4642859</v>
      </c>
      <c r="K159" s="231">
        <f>D159</f>
        <v>1268952878.4642859</v>
      </c>
    </row>
    <row r="160" spans="2:12" s="161" customFormat="1" ht="23.1" customHeight="1">
      <c r="B160" s="283"/>
      <c r="C160" s="226" t="s">
        <v>43</v>
      </c>
      <c r="D160" s="225">
        <f t="shared" ref="D160:K160" si="67">D159-D158</f>
        <v>-76505405</v>
      </c>
      <c r="E160" s="225">
        <f t="shared" si="67"/>
        <v>-76505405</v>
      </c>
      <c r="F160" s="225">
        <f t="shared" si="67"/>
        <v>-76505405</v>
      </c>
      <c r="G160" s="225">
        <f t="shared" si="67"/>
        <v>-76505405</v>
      </c>
      <c r="H160" s="225">
        <f t="shared" si="67"/>
        <v>-76505405</v>
      </c>
      <c r="I160" s="225">
        <f t="shared" si="67"/>
        <v>-76505405</v>
      </c>
      <c r="J160" s="225">
        <f t="shared" si="67"/>
        <v>-76505405</v>
      </c>
      <c r="K160" s="231">
        <f t="shared" si="67"/>
        <v>-76505405</v>
      </c>
    </row>
    <row r="161" spans="2:11" s="161" customFormat="1" ht="23.1" customHeight="1">
      <c r="B161" s="284"/>
      <c r="C161" s="226" t="s">
        <v>8</v>
      </c>
      <c r="D161" s="226"/>
      <c r="E161" s="226"/>
      <c r="F161" s="226"/>
      <c r="G161" s="226"/>
      <c r="H161" s="226"/>
      <c r="I161" s="226"/>
      <c r="J161" s="226"/>
      <c r="K161" s="234"/>
    </row>
    <row r="162" spans="2:11" s="161" customFormat="1" ht="23.1" customHeight="1">
      <c r="B162" s="282" t="s">
        <v>15</v>
      </c>
      <c r="C162" s="226" t="s">
        <v>3</v>
      </c>
      <c r="D162" s="225">
        <f>$G$56+$G$60+$G$63+$G$97+$G$126</f>
        <v>1335895977</v>
      </c>
      <c r="E162" s="225">
        <f t="shared" ref="E162:K162" si="68">$D$139</f>
        <v>1335895977</v>
      </c>
      <c r="F162" s="225">
        <f t="shared" si="68"/>
        <v>1335895977</v>
      </c>
      <c r="G162" s="225">
        <f t="shared" si="68"/>
        <v>1335895977</v>
      </c>
      <c r="H162" s="225">
        <f t="shared" si="68"/>
        <v>1335895977</v>
      </c>
      <c r="I162" s="225">
        <f t="shared" si="68"/>
        <v>1335895977</v>
      </c>
      <c r="J162" s="225">
        <f t="shared" si="68"/>
        <v>1335895977</v>
      </c>
      <c r="K162" s="231">
        <f t="shared" si="68"/>
        <v>1335895977</v>
      </c>
    </row>
    <row r="163" spans="2:11" s="161" customFormat="1" ht="23.1" customHeight="1">
      <c r="B163" s="283"/>
      <c r="C163" s="226" t="s">
        <v>42</v>
      </c>
      <c r="D163" s="225">
        <f>$I$52+$I$78+$I$81+I97+$I$126</f>
        <v>1262568531.9682541</v>
      </c>
      <c r="E163" s="225">
        <f>$I$52+$I$78+$I$81+I105+$I$126</f>
        <v>1374985331.9682541</v>
      </c>
      <c r="F163" s="225">
        <f>$I$52+$I$78+$I$81+I106+$I$126</f>
        <v>1342225331.9682541</v>
      </c>
      <c r="G163" s="225">
        <f>$I$52+$I$78+$I$81+I107+$I$126</f>
        <v>1318753331.9682541</v>
      </c>
      <c r="H163" s="225">
        <f>$I$52+$I$78+$I$81+I108+$I$126</f>
        <v>1293657331.9682541</v>
      </c>
      <c r="I163" s="225">
        <f>$I$52+$I$78+$I$81+I109+$I$126</f>
        <v>1346869331.9682541</v>
      </c>
      <c r="J163" s="225">
        <f>$I$52+$I$78+$I$81+I110+$I$126</f>
        <v>1317941331.9682541</v>
      </c>
      <c r="K163" s="231">
        <v>1304937211.96825</v>
      </c>
    </row>
    <row r="164" spans="2:11" s="161" customFormat="1" ht="23.1" customHeight="1">
      <c r="B164" s="283"/>
      <c r="C164" s="226" t="s">
        <v>43</v>
      </c>
      <c r="D164" s="225">
        <f t="shared" ref="D164:K164" si="69">D163-D162</f>
        <v>-73327445.031745911</v>
      </c>
      <c r="E164" s="225">
        <f t="shared" si="69"/>
        <v>39089354.968254089</v>
      </c>
      <c r="F164" s="225">
        <f t="shared" si="69"/>
        <v>6329354.9682540894</v>
      </c>
      <c r="G164" s="225">
        <f t="shared" si="69"/>
        <v>-17142645.031745911</v>
      </c>
      <c r="H164" s="225">
        <f t="shared" si="69"/>
        <v>-42238645.031745911</v>
      </c>
      <c r="I164" s="225">
        <f t="shared" si="69"/>
        <v>10973354.968254089</v>
      </c>
      <c r="J164" s="225">
        <f t="shared" si="69"/>
        <v>-17954645.031745911</v>
      </c>
      <c r="K164" s="231">
        <f t="shared" si="69"/>
        <v>-30958765.031749964</v>
      </c>
    </row>
    <row r="165" spans="2:11" s="161" customFormat="1" ht="23.1" customHeight="1">
      <c r="B165" s="284"/>
      <c r="C165" s="226" t="s">
        <v>8</v>
      </c>
      <c r="D165" s="226"/>
      <c r="E165" s="226"/>
      <c r="F165" s="226"/>
      <c r="G165" s="226"/>
      <c r="H165" s="226"/>
      <c r="I165" s="226"/>
      <c r="J165" s="226"/>
      <c r="K165" s="234"/>
    </row>
    <row r="166" spans="2:11" s="161" customFormat="1" ht="23.1" customHeight="1">
      <c r="B166" s="282" t="s">
        <v>17</v>
      </c>
      <c r="C166" s="226" t="s">
        <v>3</v>
      </c>
      <c r="D166" s="225">
        <f>$G$53+$G$61+$G$62+$G$111+$G$127</f>
        <v>651761479</v>
      </c>
      <c r="E166" s="225">
        <f t="shared" ref="E166:K166" si="70">$D$143</f>
        <v>651761479</v>
      </c>
      <c r="F166" s="225">
        <f t="shared" si="70"/>
        <v>651761479</v>
      </c>
      <c r="G166" s="225">
        <f t="shared" si="70"/>
        <v>651761479</v>
      </c>
      <c r="H166" s="225">
        <f t="shared" si="70"/>
        <v>651761479</v>
      </c>
      <c r="I166" s="225">
        <f t="shared" si="70"/>
        <v>651761479</v>
      </c>
      <c r="J166" s="225">
        <f t="shared" si="70"/>
        <v>651761479</v>
      </c>
      <c r="K166" s="231">
        <f t="shared" si="70"/>
        <v>651761479</v>
      </c>
    </row>
    <row r="167" spans="2:11" s="161" customFormat="1" ht="23.1" customHeight="1">
      <c r="B167" s="283"/>
      <c r="C167" s="226" t="s">
        <v>42</v>
      </c>
      <c r="D167" s="225">
        <f>$I$53+$I$79+$I$80+I111+$I$127</f>
        <v>631668718.66666675</v>
      </c>
      <c r="E167" s="225">
        <f>$I$53+$I$79+$I$80+I119+$I$127</f>
        <v>659772918.66666663</v>
      </c>
      <c r="F167" s="225">
        <f>$I$53+$I$79+$I$80+I120+$I$127</f>
        <v>651582918.66666663</v>
      </c>
      <c r="G167" s="225">
        <f>$I$53+$I$79+$I$80+I121+$I$127</f>
        <v>645714918.66666663</v>
      </c>
      <c r="H167" s="225">
        <f>$I$53+$I$79+$I$80+I122+$I$127</f>
        <v>639440918.66666663</v>
      </c>
      <c r="I167" s="225">
        <f>$I$53+$I$79+$I$80+I123+$I$127</f>
        <v>652743918.66666663</v>
      </c>
      <c r="J167" s="225">
        <f>$I$53+$I$79+$I$80+I124+$I$127</f>
        <v>645511918.66666663</v>
      </c>
      <c r="K167" s="231">
        <v>659677598.66666698</v>
      </c>
    </row>
    <row r="168" spans="2:11" s="161" customFormat="1" ht="23.1" customHeight="1">
      <c r="B168" s="283"/>
      <c r="C168" s="226" t="s">
        <v>43</v>
      </c>
      <c r="D168" s="225">
        <f t="shared" ref="D168:K168" si="71">D167-D166</f>
        <v>-20092760.333333254</v>
      </c>
      <c r="E168" s="225">
        <f t="shared" si="71"/>
        <v>8011439.6666666269</v>
      </c>
      <c r="F168" s="225">
        <f t="shared" si="71"/>
        <v>-178560.33333337307</v>
      </c>
      <c r="G168" s="225">
        <f t="shared" si="71"/>
        <v>-6046560.3333333731</v>
      </c>
      <c r="H168" s="225">
        <f t="shared" si="71"/>
        <v>-12320560.333333373</v>
      </c>
      <c r="I168" s="225">
        <f t="shared" si="71"/>
        <v>982439.66666662693</v>
      </c>
      <c r="J168" s="225">
        <f t="shared" si="71"/>
        <v>-6249560.3333333731</v>
      </c>
      <c r="K168" s="231">
        <f t="shared" si="71"/>
        <v>7916119.6666669846</v>
      </c>
    </row>
    <row r="169" spans="2:11" s="161" customFormat="1" ht="23.1" customHeight="1">
      <c r="B169" s="284"/>
      <c r="C169" s="226" t="s">
        <v>8</v>
      </c>
      <c r="D169" s="226"/>
      <c r="E169" s="226"/>
      <c r="F169" s="226"/>
      <c r="G169" s="226"/>
      <c r="H169" s="226"/>
      <c r="I169" s="226"/>
      <c r="J169" s="226"/>
      <c r="K169" s="234"/>
    </row>
    <row r="170" spans="2:11" s="161" customFormat="1" ht="23.1" customHeight="1">
      <c r="B170" s="282" t="s">
        <v>111</v>
      </c>
      <c r="C170" s="226" t="s">
        <v>3</v>
      </c>
      <c r="D170" s="225">
        <f>$D$135+$D$139+$D$143</f>
        <v>3333115739.4642859</v>
      </c>
      <c r="E170" s="225">
        <f t="shared" ref="E170:K170" si="72">E158+E162+E166</f>
        <v>3333115739.4642859</v>
      </c>
      <c r="F170" s="225">
        <f t="shared" si="72"/>
        <v>3333115739.4642859</v>
      </c>
      <c r="G170" s="225">
        <f t="shared" si="72"/>
        <v>3333115739.4642859</v>
      </c>
      <c r="H170" s="225">
        <f t="shared" si="72"/>
        <v>3333115739.4642859</v>
      </c>
      <c r="I170" s="225">
        <f t="shared" si="72"/>
        <v>3333115739.4642859</v>
      </c>
      <c r="J170" s="225">
        <f t="shared" si="72"/>
        <v>3333115739.4642859</v>
      </c>
      <c r="K170" s="231">
        <f t="shared" si="72"/>
        <v>3333115739.4642859</v>
      </c>
    </row>
    <row r="171" spans="2:11" s="161" customFormat="1" ht="23.1" customHeight="1">
      <c r="B171" s="283"/>
      <c r="C171" s="226" t="s">
        <v>42</v>
      </c>
      <c r="D171" s="225">
        <f t="shared" ref="D171:K171" si="73">D159+D163+D167</f>
        <v>3163190129.0992069</v>
      </c>
      <c r="E171" s="225">
        <f t="shared" si="73"/>
        <v>3303711129.0992064</v>
      </c>
      <c r="F171" s="225">
        <f t="shared" si="73"/>
        <v>3262761129.0992064</v>
      </c>
      <c r="G171" s="225">
        <f t="shared" si="73"/>
        <v>3233421129.0992064</v>
      </c>
      <c r="H171" s="225">
        <f t="shared" si="73"/>
        <v>3202051129.0992064</v>
      </c>
      <c r="I171" s="225">
        <f t="shared" si="73"/>
        <v>3268566129.0992064</v>
      </c>
      <c r="J171" s="225">
        <f t="shared" si="73"/>
        <v>3232406129.0992064</v>
      </c>
      <c r="K171" s="231">
        <f t="shared" si="73"/>
        <v>3233567689.0992031</v>
      </c>
    </row>
    <row r="172" spans="2:11" s="161" customFormat="1" ht="23.1" customHeight="1">
      <c r="B172" s="283"/>
      <c r="C172" s="226" t="s">
        <v>43</v>
      </c>
      <c r="D172" s="225">
        <f t="shared" ref="D172:K172" si="74">D171-D170</f>
        <v>-169925610.36507893</v>
      </c>
      <c r="E172" s="225">
        <f t="shared" si="74"/>
        <v>-29404610.365079403</v>
      </c>
      <c r="F172" s="225">
        <f t="shared" si="74"/>
        <v>-70354610.365079403</v>
      </c>
      <c r="G172" s="225">
        <f t="shared" si="74"/>
        <v>-99694610.365079403</v>
      </c>
      <c r="H172" s="225">
        <f t="shared" si="74"/>
        <v>-131064610.3650794</v>
      </c>
      <c r="I172" s="225">
        <f t="shared" si="74"/>
        <v>-64549610.365079403</v>
      </c>
      <c r="J172" s="225">
        <f t="shared" si="74"/>
        <v>-100709610.3650794</v>
      </c>
      <c r="K172" s="231">
        <f t="shared" si="74"/>
        <v>-99548050.365082741</v>
      </c>
    </row>
    <row r="173" spans="2:11" s="161" customFormat="1" ht="23.1" customHeight="1">
      <c r="B173" s="284"/>
      <c r="C173" s="226" t="s">
        <v>8</v>
      </c>
      <c r="D173" s="226"/>
      <c r="E173" s="226"/>
      <c r="F173" s="226"/>
      <c r="G173" s="226"/>
      <c r="H173" s="226"/>
      <c r="I173" s="226"/>
      <c r="J173" s="226"/>
      <c r="K173" s="234"/>
    </row>
    <row r="175" spans="2:11">
      <c r="D175" s="21">
        <f t="shared" ref="D175:K175" si="75">D172/23000</f>
        <v>-7388.0700158729969</v>
      </c>
      <c r="E175" s="21">
        <f t="shared" si="75"/>
        <v>-1278.4613202208436</v>
      </c>
      <c r="F175" s="166">
        <f t="shared" si="75"/>
        <v>-3058.8961028295394</v>
      </c>
      <c r="G175" s="21">
        <f t="shared" si="75"/>
        <v>-4334.5482767425829</v>
      </c>
      <c r="H175" s="21">
        <f t="shared" si="75"/>
        <v>-5698.4613202208438</v>
      </c>
      <c r="I175" s="21">
        <f t="shared" si="75"/>
        <v>-2806.5047984817134</v>
      </c>
      <c r="J175" s="21">
        <f t="shared" si="75"/>
        <v>-4378.6787115251918</v>
      </c>
      <c r="K175" s="21">
        <f t="shared" si="75"/>
        <v>-4328.1761028296842</v>
      </c>
    </row>
    <row r="177" spans="2:11">
      <c r="D177" s="21">
        <f>D175-D152</f>
        <v>-1469.875991718417</v>
      </c>
      <c r="E177" s="21"/>
      <c r="F177" s="21">
        <f>+F175-F152</f>
        <v>-1469.8759917184168</v>
      </c>
    </row>
    <row r="178" spans="2:11" hidden="1"/>
    <row r="179" spans="2:11" hidden="1"/>
    <row r="180" spans="2:11" hidden="1"/>
    <row r="181" spans="2:11" hidden="1">
      <c r="D181" s="259" t="s">
        <v>97</v>
      </c>
      <c r="E181" s="259" t="s">
        <v>98</v>
      </c>
      <c r="F181" s="259" t="s">
        <v>99</v>
      </c>
      <c r="G181" s="259" t="s">
        <v>100</v>
      </c>
      <c r="H181" s="259" t="s">
        <v>101</v>
      </c>
      <c r="I181" s="259" t="s">
        <v>102</v>
      </c>
      <c r="J181" s="259" t="s">
        <v>103</v>
      </c>
      <c r="K181" s="259" t="s">
        <v>117</v>
      </c>
    </row>
    <row r="182" spans="2:11" hidden="1">
      <c r="C182" s="252" t="s">
        <v>22</v>
      </c>
      <c r="D182" s="220">
        <f t="shared" ref="D182:K182" si="76">D149</f>
        <v>-136118462.55555534</v>
      </c>
      <c r="E182" s="220">
        <f t="shared" si="76"/>
        <v>4402537.4444441795</v>
      </c>
      <c r="F182" s="220">
        <f t="shared" si="76"/>
        <v>-36547462.55555582</v>
      </c>
      <c r="G182" s="220">
        <f t="shared" si="76"/>
        <v>-65887462.55555582</v>
      </c>
      <c r="H182" s="220">
        <f t="shared" si="76"/>
        <v>-97257462.55555582</v>
      </c>
      <c r="I182" s="220">
        <f t="shared" si="76"/>
        <v>-30742462.55555582</v>
      </c>
      <c r="J182" s="220">
        <f t="shared" si="76"/>
        <v>-66902462.55555582</v>
      </c>
      <c r="K182" s="220">
        <f t="shared" si="76"/>
        <v>14390023</v>
      </c>
    </row>
    <row r="183" spans="2:11" hidden="1">
      <c r="C183" s="252" t="s">
        <v>30</v>
      </c>
      <c r="D183" s="220">
        <f t="shared" ref="D183:K183" si="77">D172</f>
        <v>-169925610.36507893</v>
      </c>
      <c r="E183" s="220">
        <f t="shared" si="77"/>
        <v>-29404610.365079403</v>
      </c>
      <c r="F183" s="220">
        <f t="shared" si="77"/>
        <v>-70354610.365079403</v>
      </c>
      <c r="G183" s="220">
        <f t="shared" si="77"/>
        <v>-99694610.365079403</v>
      </c>
      <c r="H183" s="220">
        <f t="shared" si="77"/>
        <v>-131064610.3650794</v>
      </c>
      <c r="I183" s="220">
        <f t="shared" si="77"/>
        <v>-64549610.365079403</v>
      </c>
      <c r="J183" s="220">
        <f t="shared" si="77"/>
        <v>-100709610.3650794</v>
      </c>
      <c r="K183" s="220">
        <f t="shared" si="77"/>
        <v>-99548050.365082741</v>
      </c>
    </row>
    <row r="184" spans="2:11" hidden="1">
      <c r="C184" s="7" t="s">
        <v>43</v>
      </c>
      <c r="D184" s="18">
        <f t="shared" ref="D184:K184" si="78">D183-D182</f>
        <v>-33807147.809523582</v>
      </c>
      <c r="E184" s="18">
        <f t="shared" si="78"/>
        <v>-33807147.809523582</v>
      </c>
      <c r="F184" s="18">
        <f t="shared" si="78"/>
        <v>-33807147.809523582</v>
      </c>
      <c r="G184" s="18">
        <f t="shared" si="78"/>
        <v>-33807147.809523582</v>
      </c>
      <c r="H184" s="18">
        <f t="shared" si="78"/>
        <v>-33807147.809523582</v>
      </c>
      <c r="I184" s="18">
        <f t="shared" si="78"/>
        <v>-33807147.809523582</v>
      </c>
      <c r="J184" s="18">
        <f t="shared" si="78"/>
        <v>-33807147.809523582</v>
      </c>
      <c r="K184" s="18">
        <f t="shared" si="78"/>
        <v>-113938073.36508274</v>
      </c>
    </row>
    <row r="185" spans="2:11" hidden="1"/>
    <row r="186" spans="2:11" hidden="1">
      <c r="D186" s="21">
        <f>D184/23000</f>
        <v>-1469.8759917184166</v>
      </c>
    </row>
    <row r="187" spans="2:11" hidden="1"/>
    <row r="188" spans="2:11">
      <c r="B188" s="21">
        <f>+G52+G97+G126</f>
        <v>1067324977</v>
      </c>
    </row>
    <row r="189" spans="2:11">
      <c r="B189" s="21">
        <f>+H52+I106+I126</f>
        <v>1066472780</v>
      </c>
      <c r="F189" t="s">
        <v>118</v>
      </c>
    </row>
    <row r="190" spans="2:11">
      <c r="D190" s="266" t="s">
        <v>95</v>
      </c>
      <c r="E190" s="266" t="s">
        <v>3</v>
      </c>
      <c r="F190" s="266" t="s">
        <v>42</v>
      </c>
      <c r="G190" s="266" t="s">
        <v>43</v>
      </c>
      <c r="H190" s="230" t="s">
        <v>151</v>
      </c>
      <c r="I190" s="118">
        <v>1322141964.4642859</v>
      </c>
      <c r="J190">
        <v>1322141964.4642859</v>
      </c>
      <c r="K190">
        <f>+I190-J190</f>
        <v>0</v>
      </c>
    </row>
    <row r="191" spans="2:11">
      <c r="D191" s="7" t="s">
        <v>10</v>
      </c>
      <c r="E191" s="220">
        <f>D158</f>
        <v>1345458283.4642859</v>
      </c>
      <c r="F191" s="220">
        <f>D136</f>
        <v>1282682642.4642859</v>
      </c>
      <c r="G191" s="220">
        <f t="shared" ref="G191:G194" si="79">F191-E191</f>
        <v>-62775641</v>
      </c>
      <c r="H191" t="s">
        <v>113</v>
      </c>
      <c r="I191">
        <v>1298839740</v>
      </c>
      <c r="J191">
        <v>1298839740</v>
      </c>
      <c r="K191" s="25">
        <f t="shared" ref="K191:K192" si="80">+I191-J191</f>
        <v>0</v>
      </c>
    </row>
    <row r="192" spans="2:11">
      <c r="D192" s="7" t="s">
        <v>15</v>
      </c>
      <c r="E192" s="220">
        <f>D162</f>
        <v>1335895977</v>
      </c>
      <c r="F192" s="220">
        <f>K140</f>
        <v>1378496540</v>
      </c>
      <c r="G192" s="220">
        <f t="shared" si="79"/>
        <v>42600563</v>
      </c>
      <c r="H192" t="s">
        <v>119</v>
      </c>
      <c r="I192">
        <v>666412380</v>
      </c>
      <c r="J192">
        <v>666412379.99999976</v>
      </c>
      <c r="K192" s="25">
        <f t="shared" si="80"/>
        <v>0</v>
      </c>
    </row>
    <row r="193" spans="4:9">
      <c r="D193" s="7" t="s">
        <v>17</v>
      </c>
      <c r="E193" s="220">
        <f>D166</f>
        <v>651761479</v>
      </c>
      <c r="F193" s="220">
        <f>K144</f>
        <v>686326580</v>
      </c>
      <c r="G193" s="220">
        <f t="shared" si="79"/>
        <v>34565101</v>
      </c>
      <c r="H193" t="s">
        <v>120</v>
      </c>
    </row>
    <row r="194" spans="4:9">
      <c r="D194" s="7" t="s">
        <v>111</v>
      </c>
      <c r="E194" s="220">
        <f>SUM(E191:E193)</f>
        <v>3333115739.4642859</v>
      </c>
      <c r="F194" s="220">
        <f>SUM(F191:F193)</f>
        <v>3347505762.4642859</v>
      </c>
      <c r="G194" s="220">
        <f t="shared" si="79"/>
        <v>14390023</v>
      </c>
    </row>
    <row r="195" spans="4:9">
      <c r="G195" s="21">
        <f>G194/23000</f>
        <v>625.65317391304347</v>
      </c>
    </row>
    <row r="198" spans="4:9">
      <c r="D198" s="266" t="s">
        <v>95</v>
      </c>
      <c r="E198" s="266" t="s">
        <v>3</v>
      </c>
      <c r="F198" s="266" t="s">
        <v>42</v>
      </c>
      <c r="G198" s="266" t="s">
        <v>43</v>
      </c>
      <c r="H198" s="230" t="s">
        <v>152</v>
      </c>
      <c r="I198" s="118"/>
    </row>
    <row r="199" spans="4:9">
      <c r="D199" s="7" t="s">
        <v>10</v>
      </c>
      <c r="E199" s="220">
        <f t="shared" ref="E199:E201" si="81">E191</f>
        <v>1345458283.4642859</v>
      </c>
      <c r="F199" s="220">
        <f>D159</f>
        <v>1268952878.4642859</v>
      </c>
      <c r="G199" s="220">
        <f t="shared" ref="G199:G202" si="82">F199-E199</f>
        <v>-76505405</v>
      </c>
      <c r="H199" t="s">
        <v>113</v>
      </c>
    </row>
    <row r="200" spans="4:9">
      <c r="D200" s="7" t="s">
        <v>15</v>
      </c>
      <c r="E200" s="220">
        <f t="shared" si="81"/>
        <v>1335895977</v>
      </c>
      <c r="F200" s="220">
        <f>K163</f>
        <v>1304937211.96825</v>
      </c>
      <c r="G200" s="220">
        <f t="shared" si="82"/>
        <v>-30958765.031749964</v>
      </c>
      <c r="H200" t="s">
        <v>119</v>
      </c>
    </row>
    <row r="201" spans="4:9">
      <c r="D201" s="7" t="s">
        <v>17</v>
      </c>
      <c r="E201" s="220">
        <f t="shared" si="81"/>
        <v>651761479</v>
      </c>
      <c r="F201" s="220">
        <f>K167</f>
        <v>659677598.66666698</v>
      </c>
      <c r="G201" s="220">
        <f t="shared" si="82"/>
        <v>7916119.6666669846</v>
      </c>
      <c r="H201" t="s">
        <v>120</v>
      </c>
    </row>
    <row r="202" spans="4:9">
      <c r="D202" s="7" t="s">
        <v>111</v>
      </c>
      <c r="E202" s="220">
        <f>SUM(E199:E201)</f>
        <v>3333115739.4642859</v>
      </c>
      <c r="F202" s="220">
        <f>SUM(F199:F201)</f>
        <v>3233567689.0992031</v>
      </c>
      <c r="G202" s="220">
        <f t="shared" si="82"/>
        <v>-99548050.365082741</v>
      </c>
    </row>
    <row r="203" spans="4:9">
      <c r="G203" s="21">
        <f>G202/23000</f>
        <v>-4328.1761028296842</v>
      </c>
    </row>
    <row r="206" spans="4:9">
      <c r="G206" s="21">
        <f>G203-G195</f>
        <v>-4953.8292767427274</v>
      </c>
    </row>
    <row r="210" spans="3:11">
      <c r="C210" s="300" t="s">
        <v>95</v>
      </c>
      <c r="D210" s="300" t="s">
        <v>96</v>
      </c>
      <c r="E210" s="236" t="s">
        <v>97</v>
      </c>
      <c r="F210" s="236" t="s">
        <v>98</v>
      </c>
      <c r="G210" s="236" t="s">
        <v>99</v>
      </c>
      <c r="H210" s="236" t="s">
        <v>100</v>
      </c>
      <c r="I210" s="236" t="s">
        <v>101</v>
      </c>
      <c r="J210" s="236" t="s">
        <v>102</v>
      </c>
      <c r="K210" s="236" t="s">
        <v>103</v>
      </c>
    </row>
    <row r="211" spans="3:11" ht="30">
      <c r="C211" s="301"/>
      <c r="D211" s="301"/>
      <c r="E211" s="194" t="s">
        <v>104</v>
      </c>
      <c r="F211" s="237" t="s">
        <v>153</v>
      </c>
      <c r="G211" s="383" t="s">
        <v>154</v>
      </c>
      <c r="H211" s="237" t="s">
        <v>155</v>
      </c>
      <c r="I211" s="237" t="s">
        <v>156</v>
      </c>
      <c r="J211" s="237" t="s">
        <v>157</v>
      </c>
      <c r="K211" s="237" t="s">
        <v>157</v>
      </c>
    </row>
    <row r="212" spans="3:11">
      <c r="C212" s="168" t="s">
        <v>10</v>
      </c>
      <c r="D212" s="238">
        <f>+D135</f>
        <v>1345458283.4642859</v>
      </c>
      <c r="E212" s="239">
        <f>+D136</f>
        <v>1282682642.4642859</v>
      </c>
      <c r="F212" s="239">
        <f t="shared" ref="F212:K212" si="83">+E136</f>
        <v>1282682642.4642859</v>
      </c>
      <c r="G212" s="239">
        <f t="shared" si="83"/>
        <v>1282682642.4642859</v>
      </c>
      <c r="H212" s="239">
        <f t="shared" si="83"/>
        <v>1282682642.4642859</v>
      </c>
      <c r="I212" s="239">
        <f t="shared" si="83"/>
        <v>1282682642.4642859</v>
      </c>
      <c r="J212" s="239">
        <f t="shared" si="83"/>
        <v>1282682642.4642859</v>
      </c>
      <c r="K212" s="239">
        <f t="shared" si="83"/>
        <v>1282682642.4642859</v>
      </c>
    </row>
    <row r="213" spans="3:11">
      <c r="C213" s="168" t="s">
        <v>15</v>
      </c>
      <c r="D213" s="238">
        <f>+D139</f>
        <v>1335895977</v>
      </c>
      <c r="E213" s="239">
        <f>+D140</f>
        <v>1272644723.7777777</v>
      </c>
      <c r="F213" s="239">
        <f t="shared" ref="F213:K213" si="84">+E140</f>
        <v>1385061523.7777777</v>
      </c>
      <c r="G213" s="239">
        <f t="shared" si="84"/>
        <v>1352301523.7777777</v>
      </c>
      <c r="H213" s="239">
        <f t="shared" si="84"/>
        <v>1328829523.7777777</v>
      </c>
      <c r="I213" s="239">
        <f t="shared" si="84"/>
        <v>1303733523.7777777</v>
      </c>
      <c r="J213" s="239">
        <f t="shared" si="84"/>
        <v>1356945523.7777777</v>
      </c>
      <c r="K213" s="239">
        <f t="shared" si="84"/>
        <v>1328017523.7777777</v>
      </c>
    </row>
    <row r="214" spans="3:11">
      <c r="C214" s="168" t="s">
        <v>17</v>
      </c>
      <c r="D214" s="238">
        <f>+D143</f>
        <v>651761479</v>
      </c>
      <c r="E214" s="239">
        <f t="shared" ref="E214:K214" si="85">+D144</f>
        <v>641669910.66666675</v>
      </c>
      <c r="F214" s="239">
        <f t="shared" si="85"/>
        <v>669774110.66666663</v>
      </c>
      <c r="G214" s="239">
        <f t="shared" si="85"/>
        <v>661584110.66666663</v>
      </c>
      <c r="H214" s="239">
        <f t="shared" si="85"/>
        <v>655716110.66666663</v>
      </c>
      <c r="I214" s="239">
        <f t="shared" si="85"/>
        <v>649442110.66666663</v>
      </c>
      <c r="J214" s="239">
        <f t="shared" si="85"/>
        <v>662745110.66666663</v>
      </c>
      <c r="K214" s="239">
        <f t="shared" si="85"/>
        <v>655513110.66666663</v>
      </c>
    </row>
    <row r="215" spans="3:11">
      <c r="C215" s="168" t="s">
        <v>111</v>
      </c>
      <c r="D215" s="238">
        <f>D212+D213+D214</f>
        <v>3333115739.4642859</v>
      </c>
      <c r="E215" s="238">
        <f t="shared" ref="E215:K215" si="86">+E212+E213+E214</f>
        <v>3196997276.9087305</v>
      </c>
      <c r="F215" s="238">
        <f t="shared" si="86"/>
        <v>3337518276.90873</v>
      </c>
      <c r="G215" s="238">
        <f t="shared" si="86"/>
        <v>3296568276.90873</v>
      </c>
      <c r="H215" s="238">
        <f t="shared" si="86"/>
        <v>3267228276.90873</v>
      </c>
      <c r="I215" s="238">
        <f t="shared" si="86"/>
        <v>3235858276.90873</v>
      </c>
      <c r="J215" s="238">
        <f t="shared" si="86"/>
        <v>3302373276.90873</v>
      </c>
      <c r="K215" s="238">
        <f t="shared" si="86"/>
        <v>3266213276.90873</v>
      </c>
    </row>
    <row r="216" spans="3:11">
      <c r="C216" s="168" t="s">
        <v>43</v>
      </c>
      <c r="D216" s="168"/>
      <c r="E216" s="239">
        <f t="shared" ref="E216:K216" si="87">+E215-$D$215</f>
        <v>-136118462.55555534</v>
      </c>
      <c r="F216" s="239">
        <f t="shared" si="87"/>
        <v>4402537.4444441795</v>
      </c>
      <c r="G216" s="239">
        <f t="shared" si="87"/>
        <v>-36547462.55555582</v>
      </c>
      <c r="H216" s="239">
        <f t="shared" si="87"/>
        <v>-65887462.55555582</v>
      </c>
      <c r="I216" s="239">
        <f t="shared" si="87"/>
        <v>-97257462.55555582</v>
      </c>
      <c r="J216" s="239">
        <f t="shared" si="87"/>
        <v>-30742462.55555582</v>
      </c>
      <c r="K216" s="239">
        <f t="shared" si="87"/>
        <v>-66902462.55555582</v>
      </c>
    </row>
    <row r="217" spans="3:11">
      <c r="C217" s="168"/>
      <c r="D217" s="168" t="s">
        <v>112</v>
      </c>
      <c r="E217" s="239">
        <f t="shared" ref="E217:K217" si="88">+E216/23000</f>
        <v>-5918.1940241545799</v>
      </c>
      <c r="F217" s="239">
        <f t="shared" si="88"/>
        <v>191.41467149757301</v>
      </c>
      <c r="G217" s="239">
        <f t="shared" si="88"/>
        <v>-1589.0201111111226</v>
      </c>
      <c r="H217" s="239">
        <f t="shared" si="88"/>
        <v>-2864.6722850241663</v>
      </c>
      <c r="I217" s="239">
        <f t="shared" si="88"/>
        <v>-4228.5853285024268</v>
      </c>
      <c r="J217" s="239">
        <f t="shared" si="88"/>
        <v>-1336.6288067632966</v>
      </c>
      <c r="K217" s="239">
        <f t="shared" si="88"/>
        <v>-2908.8027198067748</v>
      </c>
    </row>
    <row r="218" spans="3:11">
      <c r="D218" s="160"/>
    </row>
    <row r="219" spans="3:11">
      <c r="D219" s="160"/>
      <c r="E219" s="25">
        <f>+E215/23000</f>
        <v>138999.88160472742</v>
      </c>
      <c r="F219" s="25">
        <f t="shared" ref="F219:K219" si="89">+F215/23000</f>
        <v>145109.49030037958</v>
      </c>
      <c r="G219" s="25">
        <f t="shared" si="89"/>
        <v>143329.05551777087</v>
      </c>
      <c r="H219" s="25">
        <f t="shared" si="89"/>
        <v>142053.40334385782</v>
      </c>
      <c r="I219" s="25">
        <f t="shared" si="89"/>
        <v>140689.49030037958</v>
      </c>
      <c r="J219" s="25">
        <f t="shared" si="89"/>
        <v>143581.44682211868</v>
      </c>
      <c r="K219" s="25">
        <f t="shared" si="89"/>
        <v>142009.27290907523</v>
      </c>
    </row>
    <row r="220" spans="3:11">
      <c r="D220" s="160"/>
    </row>
    <row r="221" spans="3:11">
      <c r="C221" s="300" t="s">
        <v>95</v>
      </c>
      <c r="D221" s="300" t="s">
        <v>96</v>
      </c>
      <c r="E221" s="236" t="s">
        <v>97</v>
      </c>
      <c r="F221" s="236" t="s">
        <v>98</v>
      </c>
      <c r="G221" s="236" t="s">
        <v>99</v>
      </c>
      <c r="H221" s="236" t="s">
        <v>100</v>
      </c>
      <c r="I221" s="236" t="s">
        <v>101</v>
      </c>
      <c r="J221" s="236" t="s">
        <v>102</v>
      </c>
      <c r="K221" s="236" t="s">
        <v>103</v>
      </c>
    </row>
    <row r="222" spans="3:11" ht="30">
      <c r="C222" s="301"/>
      <c r="D222" s="301"/>
      <c r="E222" s="168" t="s">
        <v>104</v>
      </c>
      <c r="F222" s="237" t="s">
        <v>153</v>
      </c>
      <c r="G222" s="237" t="s">
        <v>154</v>
      </c>
      <c r="H222" s="237" t="s">
        <v>155</v>
      </c>
      <c r="I222" s="237" t="s">
        <v>156</v>
      </c>
      <c r="J222" s="237" t="s">
        <v>157</v>
      </c>
      <c r="K222" s="237" t="s">
        <v>157</v>
      </c>
    </row>
    <row r="223" spans="3:11">
      <c r="C223" s="168" t="s">
        <v>10</v>
      </c>
      <c r="D223" s="238">
        <f>+D158</f>
        <v>1345458283.4642859</v>
      </c>
      <c r="E223" s="239">
        <f t="shared" ref="E223:K223" si="90">+D159</f>
        <v>1268952878.4642859</v>
      </c>
      <c r="F223" s="239">
        <f t="shared" si="90"/>
        <v>1268952878.4642859</v>
      </c>
      <c r="G223" s="239">
        <f t="shared" si="90"/>
        <v>1268952878.4642859</v>
      </c>
      <c r="H223" s="239">
        <f t="shared" si="90"/>
        <v>1268952878.4642859</v>
      </c>
      <c r="I223" s="239">
        <f t="shared" si="90"/>
        <v>1268952878.4642859</v>
      </c>
      <c r="J223" s="239">
        <f t="shared" si="90"/>
        <v>1268952878.4642859</v>
      </c>
      <c r="K223" s="239">
        <f t="shared" si="90"/>
        <v>1268952878.4642859</v>
      </c>
    </row>
    <row r="224" spans="3:11">
      <c r="C224" s="168" t="s">
        <v>15</v>
      </c>
      <c r="D224" s="238">
        <f>+D162</f>
        <v>1335895977</v>
      </c>
      <c r="E224" s="239">
        <f t="shared" ref="E224:K224" si="91">+D163</f>
        <v>1262568531.9682541</v>
      </c>
      <c r="F224" s="239">
        <f t="shared" si="91"/>
        <v>1374985331.9682541</v>
      </c>
      <c r="G224" s="239">
        <f t="shared" si="91"/>
        <v>1342225331.9682541</v>
      </c>
      <c r="H224" s="239">
        <f t="shared" si="91"/>
        <v>1318753331.9682541</v>
      </c>
      <c r="I224" s="239">
        <f t="shared" si="91"/>
        <v>1293657331.9682541</v>
      </c>
      <c r="J224" s="239">
        <f t="shared" si="91"/>
        <v>1346869331.9682541</v>
      </c>
      <c r="K224" s="239">
        <f t="shared" si="91"/>
        <v>1317941331.9682541</v>
      </c>
    </row>
    <row r="225" spans="3:11">
      <c r="C225" s="168" t="s">
        <v>17</v>
      </c>
      <c r="D225" s="238">
        <f>+D166</f>
        <v>651761479</v>
      </c>
      <c r="E225" s="239">
        <f t="shared" ref="E225:K225" si="92">+D167</f>
        <v>631668718.66666675</v>
      </c>
      <c r="F225" s="239">
        <f t="shared" si="92"/>
        <v>659772918.66666663</v>
      </c>
      <c r="G225" s="239">
        <f t="shared" si="92"/>
        <v>651582918.66666663</v>
      </c>
      <c r="H225" s="239">
        <f t="shared" si="92"/>
        <v>645714918.66666663</v>
      </c>
      <c r="I225" s="239">
        <f t="shared" si="92"/>
        <v>639440918.66666663</v>
      </c>
      <c r="J225" s="239">
        <f t="shared" si="92"/>
        <v>652743918.66666663</v>
      </c>
      <c r="K225" s="239">
        <f t="shared" si="92"/>
        <v>645511918.66666663</v>
      </c>
    </row>
    <row r="226" spans="3:11">
      <c r="C226" s="168" t="s">
        <v>111</v>
      </c>
      <c r="D226" s="238">
        <f t="shared" ref="D226:K226" si="93">+D223+D224+D225</f>
        <v>3333115739.4642859</v>
      </c>
      <c r="E226" s="238">
        <f t="shared" si="93"/>
        <v>3163190129.0992069</v>
      </c>
      <c r="F226" s="238">
        <f t="shared" si="93"/>
        <v>3303711129.0992064</v>
      </c>
      <c r="G226" s="238">
        <f t="shared" si="93"/>
        <v>3262761129.0992064</v>
      </c>
      <c r="H226" s="238">
        <f t="shared" si="93"/>
        <v>3233421129.0992064</v>
      </c>
      <c r="I226" s="238">
        <f t="shared" si="93"/>
        <v>3202051129.0992064</v>
      </c>
      <c r="J226" s="238">
        <f t="shared" si="93"/>
        <v>3268566129.0992064</v>
      </c>
      <c r="K226" s="238">
        <f t="shared" si="93"/>
        <v>3232406129.0992064</v>
      </c>
    </row>
    <row r="227" spans="3:11">
      <c r="C227" s="168" t="s">
        <v>43</v>
      </c>
      <c r="D227" s="168"/>
      <c r="E227" s="239">
        <f t="shared" ref="E227:K227" si="94">+E226-$D$226</f>
        <v>-169925610.36507893</v>
      </c>
      <c r="F227" s="239">
        <f t="shared" si="94"/>
        <v>-29404610.365079403</v>
      </c>
      <c r="G227" s="239">
        <f t="shared" si="94"/>
        <v>-70354610.365079403</v>
      </c>
      <c r="H227" s="239">
        <f t="shared" si="94"/>
        <v>-99694610.365079403</v>
      </c>
      <c r="I227" s="239">
        <f t="shared" si="94"/>
        <v>-131064610.3650794</v>
      </c>
      <c r="J227" s="239">
        <f t="shared" si="94"/>
        <v>-64549610.365079403</v>
      </c>
      <c r="K227" s="239">
        <f t="shared" si="94"/>
        <v>-100709610.3650794</v>
      </c>
    </row>
    <row r="228" spans="3:11">
      <c r="C228" s="168"/>
      <c r="D228" s="168" t="s">
        <v>112</v>
      </c>
      <c r="E228" s="239">
        <f t="shared" ref="E228:K228" si="95">+E227/23000</f>
        <v>-7388.0700158729969</v>
      </c>
      <c r="F228" s="239">
        <f t="shared" si="95"/>
        <v>-1278.4613202208436</v>
      </c>
      <c r="G228" s="239">
        <f t="shared" si="95"/>
        <v>-3058.8961028295394</v>
      </c>
      <c r="H228" s="239">
        <f t="shared" si="95"/>
        <v>-4334.5482767425829</v>
      </c>
      <c r="I228" s="239">
        <f t="shared" si="95"/>
        <v>-5698.4613202208438</v>
      </c>
      <c r="J228" s="239">
        <f t="shared" si="95"/>
        <v>-2806.5047984817134</v>
      </c>
      <c r="K228" s="239">
        <f t="shared" si="95"/>
        <v>-4378.6787115251918</v>
      </c>
    </row>
    <row r="230" spans="3:11">
      <c r="E230" s="25">
        <f>+E226/23000</f>
        <v>137530.00561300901</v>
      </c>
      <c r="F230" s="25">
        <f t="shared" ref="F230:K230" si="96">+F226/23000</f>
        <v>143639.61430866114</v>
      </c>
      <c r="G230" s="25">
        <f t="shared" si="96"/>
        <v>141859.17952605247</v>
      </c>
      <c r="H230" s="25">
        <f t="shared" si="96"/>
        <v>140583.52735213941</v>
      </c>
      <c r="I230" s="25">
        <f t="shared" si="96"/>
        <v>139219.61430866114</v>
      </c>
      <c r="J230" s="25">
        <f t="shared" si="96"/>
        <v>142111.57083040028</v>
      </c>
      <c r="K230" s="25">
        <f t="shared" si="96"/>
        <v>140539.39691735679</v>
      </c>
    </row>
    <row r="235" spans="3:11">
      <c r="H235" s="25"/>
      <c r="I235" s="25"/>
      <c r="J235" s="25"/>
    </row>
    <row r="236" spans="3:11">
      <c r="C236" s="25"/>
      <c r="D236" s="25"/>
      <c r="E236" s="25"/>
      <c r="F236" t="s">
        <v>363</v>
      </c>
      <c r="G236" t="s">
        <v>363</v>
      </c>
      <c r="H236" s="25" t="s">
        <v>364</v>
      </c>
      <c r="I236" s="25" t="s">
        <v>364</v>
      </c>
      <c r="J236" s="25"/>
    </row>
    <row r="237" spans="3:11">
      <c r="C237" s="300" t="s">
        <v>95</v>
      </c>
      <c r="D237" s="300" t="s">
        <v>96</v>
      </c>
      <c r="E237" s="236" t="s">
        <v>97</v>
      </c>
      <c r="F237" s="236" t="s">
        <v>98</v>
      </c>
      <c r="G237" s="236" t="s">
        <v>99</v>
      </c>
      <c r="H237" s="236" t="s">
        <v>100</v>
      </c>
      <c r="I237" s="236" t="s">
        <v>101</v>
      </c>
      <c r="J237" s="25"/>
    </row>
    <row r="238" spans="3:11" ht="39.75" customHeight="1">
      <c r="C238" s="301"/>
      <c r="D238" s="301"/>
      <c r="E238" s="237" t="s">
        <v>358</v>
      </c>
      <c r="F238" s="237" t="s">
        <v>359</v>
      </c>
      <c r="G238" s="237" t="s">
        <v>360</v>
      </c>
      <c r="H238" s="237" t="s">
        <v>361</v>
      </c>
      <c r="I238" s="237" t="s">
        <v>362</v>
      </c>
      <c r="J238" s="25"/>
    </row>
    <row r="239" spans="3:11">
      <c r="C239" s="168" t="s">
        <v>10</v>
      </c>
      <c r="D239" s="238">
        <v>1345458283.4642859</v>
      </c>
      <c r="E239" s="239">
        <f>+I50+I51+I65+I83+I125</f>
        <v>1322141964.4642859</v>
      </c>
      <c r="F239" s="239">
        <f>+I50+I51+I59+I92+I125</f>
        <v>1376761842.4642856</v>
      </c>
      <c r="G239" s="239">
        <f>+I50+I51+I77+I92+I125</f>
        <v>1363032078.4642856</v>
      </c>
      <c r="H239" s="239">
        <f>+I50+I51+I59+I83+I125</f>
        <v>1282682642.4642859</v>
      </c>
      <c r="I239" s="239">
        <f>+I50+I51+I77+I83+I125</f>
        <v>1268952878.4642859</v>
      </c>
      <c r="J239" s="25"/>
    </row>
    <row r="240" spans="3:11">
      <c r="C240" s="168" t="s">
        <v>15</v>
      </c>
      <c r="D240" s="238">
        <v>1335895977</v>
      </c>
      <c r="E240" s="239">
        <f>+I52+I66+I69+I97+I126</f>
        <v>1298839740</v>
      </c>
      <c r="F240" s="239">
        <f>+I52+I60+I63+I98+I100+I126</f>
        <v>1352301523.7777777</v>
      </c>
      <c r="G240" s="239">
        <f>+I52+I78+I81+I98+I100+I126</f>
        <v>1342225331.9682541</v>
      </c>
      <c r="H240" s="239">
        <f>+F240</f>
        <v>1352301523.7777777</v>
      </c>
      <c r="I240" s="239">
        <f>+G240</f>
        <v>1342225331.9682541</v>
      </c>
      <c r="J240" s="25"/>
    </row>
    <row r="241" spans="3:10">
      <c r="C241" s="168" t="s">
        <v>17</v>
      </c>
      <c r="D241" s="238">
        <v>651761479</v>
      </c>
      <c r="E241" s="239">
        <f>+I53+I67+I68+I111+I127</f>
        <v>666412380</v>
      </c>
      <c r="F241" s="239">
        <f>+I53+I61+I62+I112+I114+I127</f>
        <v>661584110.66666663</v>
      </c>
      <c r="G241" s="239">
        <f>+I53+I79+I80+I112+I114+I127</f>
        <v>651582918.66666663</v>
      </c>
      <c r="H241" s="239">
        <f>+F241</f>
        <v>661584110.66666663</v>
      </c>
      <c r="I241" s="239">
        <f>+G241</f>
        <v>651582918.66666663</v>
      </c>
      <c r="J241" s="25"/>
    </row>
    <row r="242" spans="3:10">
      <c r="C242" s="168" t="s">
        <v>111</v>
      </c>
      <c r="D242" s="238">
        <f t="shared" ref="D242:I242" si="97">+D239+D240+D241</f>
        <v>3333115739.4642859</v>
      </c>
      <c r="E242" s="238">
        <f t="shared" si="97"/>
        <v>3287394084.4642859</v>
      </c>
      <c r="F242" s="238">
        <f t="shared" si="97"/>
        <v>3390647476.90873</v>
      </c>
      <c r="G242" s="238">
        <f t="shared" si="97"/>
        <v>3356840329.0992064</v>
      </c>
      <c r="H242" s="238">
        <f t="shared" si="97"/>
        <v>3296568276.90873</v>
      </c>
      <c r="I242" s="238">
        <f t="shared" si="97"/>
        <v>3262761129.0992064</v>
      </c>
      <c r="J242" s="25"/>
    </row>
    <row r="243" spans="3:10">
      <c r="C243" s="168" t="s">
        <v>357</v>
      </c>
      <c r="D243" s="212">
        <f>+D242/23000</f>
        <v>144918.07562888198</v>
      </c>
      <c r="E243" s="212">
        <f t="shared" ref="E243:I243" si="98">+E242/23000</f>
        <v>142930.17758540373</v>
      </c>
      <c r="F243" s="212">
        <f t="shared" si="98"/>
        <v>147419.45551777087</v>
      </c>
      <c r="G243" s="212">
        <f t="shared" si="98"/>
        <v>145949.57952605246</v>
      </c>
      <c r="H243" s="212">
        <f t="shared" si="98"/>
        <v>143329.05551777087</v>
      </c>
      <c r="I243" s="212">
        <f t="shared" si="98"/>
        <v>141859.17952605247</v>
      </c>
    </row>
    <row r="244" spans="3:10">
      <c r="C244" s="168"/>
      <c r="D244" s="168"/>
      <c r="E244" s="239">
        <f>+E243-$D$243</f>
        <v>-1987.898043478257</v>
      </c>
      <c r="F244" s="239">
        <f t="shared" ref="F244:I244" si="99">+F243-$D$243</f>
        <v>2501.379888888885</v>
      </c>
      <c r="G244" s="239">
        <f t="shared" si="99"/>
        <v>1031.503897170478</v>
      </c>
      <c r="H244" s="239">
        <f t="shared" si="99"/>
        <v>-1589.0201111111091</v>
      </c>
      <c r="I244" s="239">
        <f t="shared" si="99"/>
        <v>-3058.8961028295162</v>
      </c>
    </row>
    <row r="245" spans="3:10">
      <c r="E245" s="25"/>
    </row>
    <row r="246" spans="3:10">
      <c r="E246" s="25"/>
    </row>
    <row r="247" spans="3:10">
      <c r="E247" s="25"/>
      <c r="F247" s="21"/>
    </row>
    <row r="248" spans="3:10">
      <c r="E248" s="25"/>
    </row>
    <row r="249" spans="3:10">
      <c r="E249" s="25"/>
    </row>
  </sheetData>
  <mergeCells count="122">
    <mergeCell ref="C221:C222"/>
    <mergeCell ref="D221:D222"/>
    <mergeCell ref="C237:C238"/>
    <mergeCell ref="D237:D238"/>
    <mergeCell ref="B158:B161"/>
    <mergeCell ref="B162:B165"/>
    <mergeCell ref="B166:B169"/>
    <mergeCell ref="B170:B173"/>
    <mergeCell ref="C210:C211"/>
    <mergeCell ref="D210:D211"/>
    <mergeCell ref="B143:B146"/>
    <mergeCell ref="E146:F146"/>
    <mergeCell ref="G146:H146"/>
    <mergeCell ref="I146:J146"/>
    <mergeCell ref="B147:B150"/>
    <mergeCell ref="B156:C157"/>
    <mergeCell ref="B133:C134"/>
    <mergeCell ref="B135:B138"/>
    <mergeCell ref="E138:F138"/>
    <mergeCell ref="G138:H138"/>
    <mergeCell ref="I138:J138"/>
    <mergeCell ref="B139:B142"/>
    <mergeCell ref="E142:F142"/>
    <mergeCell ref="G142:H142"/>
    <mergeCell ref="I142:J142"/>
    <mergeCell ref="K121:M121"/>
    <mergeCell ref="K122:M122"/>
    <mergeCell ref="K123:M123"/>
    <mergeCell ref="K124:M124"/>
    <mergeCell ref="C125:C127"/>
    <mergeCell ref="K125:M125"/>
    <mergeCell ref="K126:M126"/>
    <mergeCell ref="K127:M127"/>
    <mergeCell ref="K115:M115"/>
    <mergeCell ref="K116:M116"/>
    <mergeCell ref="K117:M117"/>
    <mergeCell ref="K118:M118"/>
    <mergeCell ref="K119:M119"/>
    <mergeCell ref="K120:M120"/>
    <mergeCell ref="K106:M106"/>
    <mergeCell ref="K107:M107"/>
    <mergeCell ref="K108:M108"/>
    <mergeCell ref="K109:M109"/>
    <mergeCell ref="K110:M110"/>
    <mergeCell ref="C111:C124"/>
    <mergeCell ref="K111:M111"/>
    <mergeCell ref="K112:M112"/>
    <mergeCell ref="K113:M113"/>
    <mergeCell ref="K114:M114"/>
    <mergeCell ref="C97:C110"/>
    <mergeCell ref="K97:M97"/>
    <mergeCell ref="K98:M98"/>
    <mergeCell ref="K99:M99"/>
    <mergeCell ref="K100:M100"/>
    <mergeCell ref="K101:M101"/>
    <mergeCell ref="K102:M102"/>
    <mergeCell ref="K103:M103"/>
    <mergeCell ref="K104:M104"/>
    <mergeCell ref="K105:M105"/>
    <mergeCell ref="K91:M91"/>
    <mergeCell ref="K92:M92"/>
    <mergeCell ref="K93:M93"/>
    <mergeCell ref="K94:M94"/>
    <mergeCell ref="K95:M95"/>
    <mergeCell ref="K96:M96"/>
    <mergeCell ref="B83:B127"/>
    <mergeCell ref="C83:C96"/>
    <mergeCell ref="K83:M83"/>
    <mergeCell ref="K84:M84"/>
    <mergeCell ref="K85:M85"/>
    <mergeCell ref="K86:M86"/>
    <mergeCell ref="K87:M87"/>
    <mergeCell ref="K88:M88"/>
    <mergeCell ref="K89:M89"/>
    <mergeCell ref="K90:M90"/>
    <mergeCell ref="B77:B82"/>
    <mergeCell ref="C77:C80"/>
    <mergeCell ref="K77:M77"/>
    <mergeCell ref="K78:M80"/>
    <mergeCell ref="K81:M81"/>
    <mergeCell ref="K82:M82"/>
    <mergeCell ref="B71:B76"/>
    <mergeCell ref="C71:C74"/>
    <mergeCell ref="K71:M71"/>
    <mergeCell ref="K72:M74"/>
    <mergeCell ref="K75:M75"/>
    <mergeCell ref="K76:M76"/>
    <mergeCell ref="B65:B70"/>
    <mergeCell ref="C65:C68"/>
    <mergeCell ref="K65:M65"/>
    <mergeCell ref="K66:M68"/>
    <mergeCell ref="K69:M69"/>
    <mergeCell ref="K70:M70"/>
    <mergeCell ref="B59:B64"/>
    <mergeCell ref="C59:C62"/>
    <mergeCell ref="K59:M59"/>
    <mergeCell ref="K60:M62"/>
    <mergeCell ref="K63:M63"/>
    <mergeCell ref="K64:M64"/>
    <mergeCell ref="B55:B58"/>
    <mergeCell ref="C55:C58"/>
    <mergeCell ref="K55:M55"/>
    <mergeCell ref="K56:M56"/>
    <mergeCell ref="K57:M57"/>
    <mergeCell ref="K58:M58"/>
    <mergeCell ref="J48:J49"/>
    <mergeCell ref="K48:M49"/>
    <mergeCell ref="K50:M50"/>
    <mergeCell ref="B51:B54"/>
    <mergeCell ref="C51:C54"/>
    <mergeCell ref="K51:M51"/>
    <mergeCell ref="K52:M52"/>
    <mergeCell ref="K53:M53"/>
    <mergeCell ref="K54:M54"/>
    <mergeCell ref="I32:I34"/>
    <mergeCell ref="I39:I41"/>
    <mergeCell ref="B48:B49"/>
    <mergeCell ref="C48:C49"/>
    <mergeCell ref="D48:D49"/>
    <mergeCell ref="E48:E49"/>
    <mergeCell ref="F48:G48"/>
    <mergeCell ref="H48:I48"/>
  </mergeCells>
  <pageMargins left="0.7" right="0.7" top="0.75" bottom="0.75" header="0.3" footer="0.3"/>
  <pageSetup paperSize="9" scale="39" fitToHeight="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4:S249"/>
  <sheetViews>
    <sheetView showGridLines="0" topLeftCell="A78" zoomScale="79" zoomScaleNormal="79" workbookViewId="0">
      <selection activeCell="I84" sqref="I84"/>
    </sheetView>
  </sheetViews>
  <sheetFormatPr defaultColWidth="9" defaultRowHeight="15"/>
  <cols>
    <col min="1" max="1" width="14.7109375" customWidth="1"/>
    <col min="2" max="2" width="16" customWidth="1"/>
    <col min="3" max="3" width="19.85546875" customWidth="1"/>
    <col min="4" max="4" width="24.28515625" customWidth="1"/>
    <col min="5" max="5" width="22.140625" customWidth="1"/>
    <col min="6" max="10" width="23.42578125" customWidth="1"/>
    <col min="11" max="11" width="20.28515625" customWidth="1"/>
    <col min="12" max="12" width="14.140625" customWidth="1"/>
    <col min="13" max="19" width="16.28515625" customWidth="1"/>
  </cols>
  <sheetData>
    <row r="4" spans="2:19" ht="46.5">
      <c r="B4" s="206" t="s">
        <v>192</v>
      </c>
    </row>
    <row r="5" spans="2:19" hidden="1"/>
    <row r="6" spans="2:19" hidden="1">
      <c r="C6" s="22" t="s">
        <v>1</v>
      </c>
    </row>
    <row r="7" spans="2:19" ht="30" hidden="1">
      <c r="C7" s="207" t="s">
        <v>2</v>
      </c>
      <c r="D7" s="208" t="s">
        <v>3</v>
      </c>
      <c r="E7" s="209" t="s">
        <v>4</v>
      </c>
      <c r="F7" s="208"/>
      <c r="G7" s="208" t="s">
        <v>6</v>
      </c>
      <c r="H7" s="208" t="s">
        <v>7</v>
      </c>
      <c r="I7" s="208" t="s">
        <v>8</v>
      </c>
      <c r="J7" s="208" t="s">
        <v>9</v>
      </c>
    </row>
    <row r="8" spans="2:19" ht="75" hidden="1">
      <c r="C8" s="176" t="s">
        <v>10</v>
      </c>
      <c r="D8" s="204">
        <v>85121795</v>
      </c>
      <c r="E8" s="210">
        <v>76154200</v>
      </c>
      <c r="F8" s="211"/>
      <c r="G8" s="204">
        <v>89576433</v>
      </c>
      <c r="H8" s="204">
        <v>132247427</v>
      </c>
      <c r="I8" s="250" t="s">
        <v>11</v>
      </c>
      <c r="J8" s="210">
        <f>+E8-D8</f>
        <v>-8967595</v>
      </c>
    </row>
    <row r="9" spans="2:19" hidden="1"/>
    <row r="10" spans="2:19" ht="30" hidden="1">
      <c r="C10" s="207" t="s">
        <v>12</v>
      </c>
      <c r="D10" s="208" t="s">
        <v>3</v>
      </c>
      <c r="E10" s="208" t="s">
        <v>4</v>
      </c>
      <c r="F10" s="208"/>
      <c r="G10" s="209" t="s">
        <v>6</v>
      </c>
      <c r="H10" s="208" t="s">
        <v>7</v>
      </c>
      <c r="I10" s="208" t="s">
        <v>8</v>
      </c>
      <c r="J10" s="208" t="s">
        <v>9</v>
      </c>
      <c r="L10" s="207" t="s">
        <v>13</v>
      </c>
      <c r="M10" s="208" t="s">
        <v>3</v>
      </c>
      <c r="N10" s="208" t="s">
        <v>4</v>
      </c>
      <c r="O10" s="208" t="s">
        <v>5</v>
      </c>
      <c r="P10" s="208" t="s">
        <v>6</v>
      </c>
      <c r="Q10" s="208" t="s">
        <v>7</v>
      </c>
      <c r="R10" s="208" t="s">
        <v>8</v>
      </c>
      <c r="S10" s="208" t="s">
        <v>9</v>
      </c>
    </row>
    <row r="11" spans="2:19" ht="45" hidden="1">
      <c r="C11" s="176" t="s">
        <v>10</v>
      </c>
      <c r="D11" s="204">
        <v>42471157</v>
      </c>
      <c r="E11" s="204">
        <v>40682600</v>
      </c>
      <c r="F11" s="204"/>
      <c r="G11" s="204">
        <v>33197822</v>
      </c>
      <c r="H11" s="211"/>
      <c r="I11" s="216" t="s">
        <v>14</v>
      </c>
      <c r="J11" s="204"/>
      <c r="L11" s="176" t="s">
        <v>10</v>
      </c>
      <c r="M11" s="211"/>
      <c r="N11" s="204">
        <v>44264590</v>
      </c>
      <c r="O11" s="211"/>
      <c r="P11" s="211"/>
      <c r="Q11" s="204">
        <v>42968280</v>
      </c>
      <c r="R11" s="204"/>
      <c r="S11" s="204"/>
    </row>
    <row r="12" spans="2:19" ht="45" hidden="1">
      <c r="C12" s="176" t="s">
        <v>15</v>
      </c>
      <c r="D12" s="204">
        <v>45837757</v>
      </c>
      <c r="E12" s="204">
        <v>45223800</v>
      </c>
      <c r="F12" s="204"/>
      <c r="G12" s="204">
        <v>38273422</v>
      </c>
      <c r="H12" s="211"/>
      <c r="I12" s="216" t="s">
        <v>16</v>
      </c>
      <c r="J12" s="204"/>
      <c r="L12" s="176" t="s">
        <v>15</v>
      </c>
      <c r="M12" s="211"/>
      <c r="N12" s="204">
        <v>48585800</v>
      </c>
      <c r="O12" s="211"/>
      <c r="P12" s="211"/>
      <c r="Q12" s="204">
        <v>48078804</v>
      </c>
      <c r="R12" s="204"/>
      <c r="S12" s="204"/>
    </row>
    <row r="13" spans="2:19" ht="30" hidden="1">
      <c r="C13" s="176" t="s">
        <v>17</v>
      </c>
      <c r="D13" s="204">
        <v>44133157</v>
      </c>
      <c r="E13" s="204">
        <v>42965200</v>
      </c>
      <c r="F13" s="204"/>
      <c r="G13" s="204">
        <v>35764522</v>
      </c>
      <c r="H13" s="211"/>
      <c r="I13" s="216" t="s">
        <v>18</v>
      </c>
      <c r="J13" s="204"/>
      <c r="L13" s="176" t="s">
        <v>17</v>
      </c>
      <c r="M13" s="211"/>
      <c r="N13" s="204">
        <v>45782200</v>
      </c>
      <c r="O13" s="211"/>
      <c r="P13" s="211"/>
      <c r="Q13" s="204">
        <v>46398804</v>
      </c>
      <c r="R13" s="204"/>
      <c r="S13" s="204"/>
    </row>
    <row r="14" spans="2:19" hidden="1">
      <c r="C14" s="176" t="s">
        <v>19</v>
      </c>
      <c r="D14" s="210">
        <f t="shared" ref="D14:H14" si="0">SUM(D11:D13)</f>
        <v>132442071</v>
      </c>
      <c r="E14" s="204">
        <f t="shared" si="0"/>
        <v>128871600</v>
      </c>
      <c r="F14" s="204"/>
      <c r="G14" s="210">
        <f t="shared" si="0"/>
        <v>107235766</v>
      </c>
      <c r="H14" s="211">
        <f t="shared" si="0"/>
        <v>0</v>
      </c>
      <c r="I14" s="204">
        <f>+E14-D14</f>
        <v>-3570471</v>
      </c>
      <c r="J14" s="204">
        <f>+G14-D14</f>
        <v>-25206305</v>
      </c>
      <c r="L14" s="176" t="s">
        <v>19</v>
      </c>
      <c r="M14" s="211">
        <f t="shared" ref="M14:S14" si="1">SUM(M11:M13)</f>
        <v>0</v>
      </c>
      <c r="N14" s="204">
        <f t="shared" si="1"/>
        <v>138632590</v>
      </c>
      <c r="O14" s="211">
        <f t="shared" si="1"/>
        <v>0</v>
      </c>
      <c r="P14" s="211">
        <f t="shared" si="1"/>
        <v>0</v>
      </c>
      <c r="Q14" s="204">
        <f t="shared" si="1"/>
        <v>137445888</v>
      </c>
      <c r="R14" s="204">
        <f t="shared" si="1"/>
        <v>0</v>
      </c>
      <c r="S14" s="204">
        <f t="shared" si="1"/>
        <v>0</v>
      </c>
    </row>
    <row r="15" spans="2:19" hidden="1">
      <c r="C15" s="176" t="s">
        <v>20</v>
      </c>
      <c r="D15" s="210">
        <f t="shared" ref="D15:G15" si="2">AVERAGE(D11:D13)</f>
        <v>44147357</v>
      </c>
      <c r="E15" s="204">
        <f t="shared" si="2"/>
        <v>42957200</v>
      </c>
      <c r="F15" s="204"/>
      <c r="G15" s="210">
        <f t="shared" si="2"/>
        <v>35745255.333333336</v>
      </c>
      <c r="H15" s="204"/>
      <c r="I15" s="204"/>
      <c r="J15" s="210">
        <f>+G15-D15</f>
        <v>-8402101.6666666642</v>
      </c>
      <c r="L15" s="176" t="s">
        <v>20</v>
      </c>
      <c r="M15" s="204"/>
      <c r="N15" s="210">
        <f>AVERAGE(N11:N13)</f>
        <v>46210863.333333336</v>
      </c>
      <c r="O15" s="204"/>
      <c r="P15" s="204"/>
      <c r="Q15" s="204">
        <f>AVERAGE(Q11:Q13)</f>
        <v>45815296</v>
      </c>
      <c r="R15" s="204"/>
      <c r="S15" s="204"/>
    </row>
    <row r="16" spans="2:19" hidden="1"/>
    <row r="17" spans="3:19" ht="30" hidden="1">
      <c r="C17" s="207" t="s">
        <v>21</v>
      </c>
      <c r="D17" s="208" t="s">
        <v>3</v>
      </c>
      <c r="E17" s="208" t="s">
        <v>4</v>
      </c>
      <c r="F17" s="208"/>
      <c r="G17" s="208" t="s">
        <v>6</v>
      </c>
      <c r="H17" s="208" t="s">
        <v>7</v>
      </c>
      <c r="I17" s="208" t="s">
        <v>8</v>
      </c>
      <c r="J17" s="208" t="s">
        <v>9</v>
      </c>
      <c r="L17" s="207" t="s">
        <v>22</v>
      </c>
      <c r="M17" s="208" t="s">
        <v>3</v>
      </c>
      <c r="N17" s="208" t="s">
        <v>4</v>
      </c>
      <c r="O17" s="208" t="s">
        <v>5</v>
      </c>
      <c r="P17" s="208" t="s">
        <v>6</v>
      </c>
      <c r="Q17" s="208" t="s">
        <v>7</v>
      </c>
      <c r="R17" s="208" t="s">
        <v>8</v>
      </c>
      <c r="S17" s="208" t="s">
        <v>9</v>
      </c>
    </row>
    <row r="18" spans="3:19" ht="60" hidden="1">
      <c r="C18" s="176" t="s">
        <v>10</v>
      </c>
      <c r="D18" s="204">
        <v>43773446.350000001</v>
      </c>
      <c r="E18" s="204">
        <v>47936750</v>
      </c>
      <c r="F18" s="211"/>
      <c r="G18" s="211"/>
      <c r="H18" s="211"/>
      <c r="I18" s="250" t="s">
        <v>23</v>
      </c>
      <c r="J18" s="204"/>
      <c r="L18" s="176" t="s">
        <v>10</v>
      </c>
      <c r="M18" s="204">
        <v>341866500</v>
      </c>
      <c r="N18" s="204">
        <v>44789186</v>
      </c>
      <c r="O18" s="204">
        <v>375667120</v>
      </c>
      <c r="P18" s="204">
        <v>336207798</v>
      </c>
      <c r="Q18" s="204">
        <v>388651417</v>
      </c>
      <c r="R18" s="216" t="s">
        <v>24</v>
      </c>
      <c r="S18" s="204">
        <f t="shared" ref="S18:S22" si="3">+P18-M18</f>
        <v>-5658702</v>
      </c>
    </row>
    <row r="19" spans="3:19" ht="120" hidden="1">
      <c r="C19" s="176" t="s">
        <v>15</v>
      </c>
      <c r="D19" s="204">
        <v>50188321</v>
      </c>
      <c r="E19" s="204">
        <v>55638252.380952403</v>
      </c>
      <c r="F19" s="211"/>
      <c r="G19" s="211"/>
      <c r="H19" s="211"/>
      <c r="I19" s="250" t="s">
        <v>25</v>
      </c>
      <c r="J19" s="204"/>
      <c r="L19" s="176" t="s">
        <v>15</v>
      </c>
      <c r="M19" s="204">
        <v>223594000</v>
      </c>
      <c r="N19" s="204">
        <v>35320438</v>
      </c>
      <c r="O19" s="204">
        <v>266283560</v>
      </c>
      <c r="P19" s="204">
        <v>244183066</v>
      </c>
      <c r="Q19" s="204">
        <v>267524346</v>
      </c>
      <c r="R19" s="216" t="s">
        <v>26</v>
      </c>
      <c r="S19" s="204">
        <f t="shared" si="3"/>
        <v>20589066</v>
      </c>
    </row>
    <row r="20" spans="3:19" ht="75" hidden="1">
      <c r="C20" s="176" t="s">
        <v>17</v>
      </c>
      <c r="D20" s="204">
        <v>47491277.75</v>
      </c>
      <c r="E20" s="204">
        <v>53819475</v>
      </c>
      <c r="F20" s="211"/>
      <c r="G20" s="211"/>
      <c r="H20" s="211"/>
      <c r="I20" s="250" t="s">
        <v>27</v>
      </c>
      <c r="J20" s="204"/>
      <c r="L20" s="176" t="s">
        <v>17</v>
      </c>
      <c r="M20" s="204">
        <v>221055500</v>
      </c>
      <c r="N20" s="204">
        <v>38479080</v>
      </c>
      <c r="O20" s="204">
        <v>263866893.33333299</v>
      </c>
      <c r="P20" s="204">
        <v>242283066</v>
      </c>
      <c r="Q20" s="204">
        <v>265782679.33333299</v>
      </c>
      <c r="R20" s="216" t="s">
        <v>28</v>
      </c>
      <c r="S20" s="204">
        <f t="shared" si="3"/>
        <v>21227566</v>
      </c>
    </row>
    <row r="21" spans="3:19" ht="33" hidden="1" customHeight="1">
      <c r="C21" s="176" t="s">
        <v>19</v>
      </c>
      <c r="D21" s="204">
        <f t="shared" ref="D21:I21" si="4">SUM(D18:D20)</f>
        <v>141453045.09999999</v>
      </c>
      <c r="E21" s="204">
        <f t="shared" si="4"/>
        <v>157394477.38095242</v>
      </c>
      <c r="F21" s="211"/>
      <c r="G21" s="211">
        <f t="shared" si="4"/>
        <v>0</v>
      </c>
      <c r="H21" s="211">
        <f t="shared" si="4"/>
        <v>0</v>
      </c>
      <c r="I21" s="204">
        <f t="shared" si="4"/>
        <v>0</v>
      </c>
      <c r="J21" s="204">
        <f>+E21-D21</f>
        <v>15941432.280952424</v>
      </c>
      <c r="L21" s="176" t="s">
        <v>19</v>
      </c>
      <c r="M21" s="204">
        <f t="shared" ref="M21:R21" si="5">SUM(M18:M20)</f>
        <v>786516000</v>
      </c>
      <c r="N21" s="204">
        <f t="shared" si="5"/>
        <v>118588704</v>
      </c>
      <c r="O21" s="204">
        <f t="shared" si="5"/>
        <v>905817573.33333302</v>
      </c>
      <c r="P21" s="204">
        <f t="shared" si="5"/>
        <v>822673930</v>
      </c>
      <c r="Q21" s="204">
        <f t="shared" si="5"/>
        <v>921958442.33333302</v>
      </c>
      <c r="R21" s="204">
        <f t="shared" si="5"/>
        <v>0</v>
      </c>
      <c r="S21" s="204">
        <f t="shared" si="3"/>
        <v>36157930</v>
      </c>
    </row>
    <row r="22" spans="3:19" ht="33" hidden="1" customHeight="1">
      <c r="C22" s="176" t="s">
        <v>20</v>
      </c>
      <c r="D22" s="210">
        <f>AVERAGE(D18:D20)</f>
        <v>47151015.033333331</v>
      </c>
      <c r="E22" s="210">
        <f>AVERAGE(E18:E20)</f>
        <v>52464825.793650806</v>
      </c>
      <c r="F22" s="212"/>
      <c r="G22" s="212"/>
      <c r="H22" s="204"/>
      <c r="I22" s="204"/>
      <c r="J22" s="210">
        <f>+E22-D22</f>
        <v>5313810.7603174746</v>
      </c>
      <c r="L22" s="176" t="s">
        <v>20</v>
      </c>
      <c r="M22" s="210">
        <f t="shared" ref="M22:Q22" si="6">AVERAGE(M18:M20)</f>
        <v>262172000</v>
      </c>
      <c r="N22" s="204">
        <f t="shared" si="6"/>
        <v>39529568</v>
      </c>
      <c r="O22" s="204">
        <f t="shared" si="6"/>
        <v>301939191.11111099</v>
      </c>
      <c r="P22" s="210">
        <f t="shared" si="6"/>
        <v>274224643.33333331</v>
      </c>
      <c r="Q22" s="204">
        <f t="shared" si="6"/>
        <v>307319480.77777767</v>
      </c>
      <c r="R22" s="204"/>
      <c r="S22" s="210">
        <f t="shared" si="3"/>
        <v>12052643.333333313</v>
      </c>
    </row>
    <row r="23" spans="3:19" hidden="1"/>
    <row r="24" spans="3:19" ht="30" hidden="1">
      <c r="C24" s="207" t="s">
        <v>29</v>
      </c>
      <c r="D24" s="208" t="s">
        <v>3</v>
      </c>
      <c r="E24" s="208" t="s">
        <v>4</v>
      </c>
      <c r="F24" s="208"/>
      <c r="G24" s="208" t="s">
        <v>6</v>
      </c>
      <c r="H24" s="208" t="s">
        <v>7</v>
      </c>
      <c r="I24" s="208" t="s">
        <v>8</v>
      </c>
      <c r="J24" s="208" t="s">
        <v>9</v>
      </c>
      <c r="L24" s="207" t="s">
        <v>30</v>
      </c>
      <c r="M24" s="208" t="s">
        <v>3</v>
      </c>
      <c r="N24" s="208" t="s">
        <v>4</v>
      </c>
      <c r="O24" s="208" t="s">
        <v>5</v>
      </c>
      <c r="P24" s="208" t="s">
        <v>6</v>
      </c>
      <c r="Q24" s="208" t="s">
        <v>7</v>
      </c>
      <c r="R24" s="208" t="s">
        <v>8</v>
      </c>
      <c r="S24" s="208" t="s">
        <v>9</v>
      </c>
    </row>
    <row r="25" spans="3:19" ht="60" hidden="1">
      <c r="C25" s="176" t="s">
        <v>10</v>
      </c>
      <c r="D25" s="204">
        <v>45143446.350000001</v>
      </c>
      <c r="E25" s="204">
        <v>46298750</v>
      </c>
      <c r="F25" s="211"/>
      <c r="G25" s="211"/>
      <c r="H25" s="211"/>
      <c r="I25" s="250" t="s">
        <v>23</v>
      </c>
      <c r="J25" s="204"/>
      <c r="L25" s="176" t="s">
        <v>10</v>
      </c>
      <c r="M25" s="211"/>
      <c r="N25" s="204">
        <v>416561500</v>
      </c>
      <c r="O25" s="211"/>
      <c r="P25" s="204">
        <v>322478034</v>
      </c>
      <c r="Q25" s="211"/>
      <c r="R25" s="216" t="s">
        <v>24</v>
      </c>
      <c r="S25" s="204"/>
    </row>
    <row r="26" spans="3:19" ht="120" hidden="1">
      <c r="C26" s="176" t="s">
        <v>15</v>
      </c>
      <c r="D26" s="204">
        <v>51558321</v>
      </c>
      <c r="E26" s="204">
        <v>53298252.380952403</v>
      </c>
      <c r="F26" s="211"/>
      <c r="G26" s="211"/>
      <c r="H26" s="211"/>
      <c r="I26" s="250" t="s">
        <v>25</v>
      </c>
      <c r="J26" s="204"/>
      <c r="L26" s="176" t="s">
        <v>15</v>
      </c>
      <c r="M26" s="211"/>
      <c r="N26" s="204">
        <v>289918200</v>
      </c>
      <c r="O26" s="211"/>
      <c r="P26" s="204">
        <v>235491398</v>
      </c>
      <c r="Q26" s="211"/>
      <c r="R26" s="216" t="s">
        <v>26</v>
      </c>
      <c r="S26" s="204"/>
    </row>
    <row r="27" spans="3:19" ht="75" hidden="1">
      <c r="C27" s="176" t="s">
        <v>17</v>
      </c>
      <c r="D27" s="204">
        <v>48861277.75</v>
      </c>
      <c r="E27" s="204">
        <v>51260100</v>
      </c>
      <c r="F27" s="211"/>
      <c r="G27" s="211"/>
      <c r="H27" s="211"/>
      <c r="I27" s="250" t="s">
        <v>27</v>
      </c>
      <c r="J27" s="204"/>
      <c r="L27" s="176" t="s">
        <v>17</v>
      </c>
      <c r="M27" s="211"/>
      <c r="N27" s="204">
        <v>286769366.66666698</v>
      </c>
      <c r="O27" s="211"/>
      <c r="P27" s="204">
        <v>233541398</v>
      </c>
      <c r="Q27" s="211"/>
      <c r="R27" s="216" t="s">
        <v>28</v>
      </c>
      <c r="S27" s="204"/>
    </row>
    <row r="28" spans="3:19" ht="30" hidden="1" customHeight="1">
      <c r="C28" s="176" t="s">
        <v>19</v>
      </c>
      <c r="D28" s="204">
        <f t="shared" ref="D28:J28" si="7">SUM(D25:D27)</f>
        <v>145563045.09999999</v>
      </c>
      <c r="E28" s="204">
        <f t="shared" si="7"/>
        <v>150857102.38095242</v>
      </c>
      <c r="F28" s="211"/>
      <c r="G28" s="211">
        <f t="shared" si="7"/>
        <v>0</v>
      </c>
      <c r="H28" s="211">
        <f t="shared" si="7"/>
        <v>0</v>
      </c>
      <c r="I28" s="204">
        <f t="shared" si="7"/>
        <v>0</v>
      </c>
      <c r="J28" s="204">
        <f t="shared" si="7"/>
        <v>0</v>
      </c>
      <c r="L28" s="176" t="s">
        <v>19</v>
      </c>
      <c r="M28" s="211">
        <f t="shared" ref="M28:S28" si="8">SUM(M25:M27)</f>
        <v>0</v>
      </c>
      <c r="N28" s="204">
        <f t="shared" si="8"/>
        <v>993249066.66666698</v>
      </c>
      <c r="O28" s="211">
        <f t="shared" si="8"/>
        <v>0</v>
      </c>
      <c r="P28" s="204">
        <f t="shared" si="8"/>
        <v>791510830</v>
      </c>
      <c r="Q28" s="211">
        <f t="shared" si="8"/>
        <v>0</v>
      </c>
      <c r="R28" s="204">
        <f t="shared" si="8"/>
        <v>0</v>
      </c>
      <c r="S28" s="204">
        <f t="shared" si="8"/>
        <v>0</v>
      </c>
    </row>
    <row r="29" spans="3:19" ht="30" hidden="1" customHeight="1">
      <c r="C29" s="176" t="s">
        <v>20</v>
      </c>
      <c r="D29" s="210">
        <f>AVERAGE(D25:D27)</f>
        <v>48521015.033333331</v>
      </c>
      <c r="E29" s="210">
        <f>AVERAGE(E25:E27)</f>
        <v>50285700.793650806</v>
      </c>
      <c r="F29" s="212"/>
      <c r="G29" s="212"/>
      <c r="H29" s="204"/>
      <c r="I29" s="204"/>
      <c r="J29" s="210">
        <f>+E29-D29</f>
        <v>1764685.7603174746</v>
      </c>
      <c r="L29" s="176" t="s">
        <v>20</v>
      </c>
      <c r="M29" s="204"/>
      <c r="N29" s="204">
        <f>AVERAGE(N25:N27)</f>
        <v>331083022.22222233</v>
      </c>
      <c r="O29" s="204"/>
      <c r="P29" s="210">
        <f>AVERAGE(P25:P27)</f>
        <v>263836943.33333334</v>
      </c>
      <c r="Q29" s="204"/>
      <c r="R29" s="204"/>
      <c r="S29" s="204">
        <f>+P29-M29</f>
        <v>263836943.33333334</v>
      </c>
    </row>
    <row r="30" spans="3:19" hidden="1"/>
    <row r="31" spans="3:19" ht="34.5" hidden="1" customHeight="1">
      <c r="C31" s="207" t="s">
        <v>31</v>
      </c>
      <c r="D31" s="208" t="s">
        <v>32</v>
      </c>
      <c r="E31" s="208" t="s">
        <v>4</v>
      </c>
      <c r="F31" s="208"/>
      <c r="G31" s="208" t="s">
        <v>6</v>
      </c>
      <c r="H31" s="208" t="s">
        <v>7</v>
      </c>
      <c r="I31" s="208" t="s">
        <v>8</v>
      </c>
      <c r="J31" s="208" t="s">
        <v>9</v>
      </c>
      <c r="L31" s="207" t="s">
        <v>33</v>
      </c>
      <c r="M31" s="208" t="s">
        <v>3</v>
      </c>
      <c r="N31" s="208" t="s">
        <v>4</v>
      </c>
      <c r="O31" s="208" t="s">
        <v>5</v>
      </c>
      <c r="P31" s="208" t="s">
        <v>6</v>
      </c>
      <c r="Q31" s="208" t="s">
        <v>7</v>
      </c>
      <c r="R31" s="208" t="s">
        <v>8</v>
      </c>
      <c r="S31" s="208" t="s">
        <v>9</v>
      </c>
    </row>
    <row r="32" spans="3:19" ht="34.5" hidden="1" customHeight="1">
      <c r="C32" s="176" t="s">
        <v>10</v>
      </c>
      <c r="D32" s="211"/>
      <c r="E32" s="204">
        <v>47837144.444444403</v>
      </c>
      <c r="F32" s="211"/>
      <c r="G32" s="211"/>
      <c r="H32" s="211"/>
      <c r="I32" s="285" t="s">
        <v>34</v>
      </c>
      <c r="J32" s="204"/>
      <c r="L32" s="176" t="s">
        <v>10</v>
      </c>
      <c r="M32" s="211"/>
      <c r="N32" s="204">
        <v>47998800</v>
      </c>
      <c r="O32" s="204">
        <v>39787550</v>
      </c>
      <c r="P32" s="204">
        <v>32400823.846153799</v>
      </c>
      <c r="Q32" s="204">
        <v>37692201</v>
      </c>
      <c r="R32" s="204"/>
      <c r="S32" s="204"/>
    </row>
    <row r="33" spans="2:19" ht="34.5" hidden="1" customHeight="1">
      <c r="C33" s="176" t="s">
        <v>15</v>
      </c>
      <c r="D33" s="211"/>
      <c r="E33" s="204">
        <v>52679761.538461603</v>
      </c>
      <c r="F33" s="211"/>
      <c r="G33" s="211"/>
      <c r="H33" s="211"/>
      <c r="I33" s="286"/>
      <c r="J33" s="204"/>
      <c r="L33" s="176" t="s">
        <v>15</v>
      </c>
      <c r="M33" s="211"/>
      <c r="N33" s="204">
        <v>52473500</v>
      </c>
      <c r="O33" s="204">
        <v>47142080</v>
      </c>
      <c r="P33" s="204">
        <v>37370924.545454502</v>
      </c>
      <c r="Q33" s="204">
        <v>41509129.5</v>
      </c>
      <c r="R33" s="204"/>
      <c r="S33" s="204"/>
    </row>
    <row r="34" spans="2:19" ht="34.5" hidden="1" customHeight="1">
      <c r="C34" s="176" t="s">
        <v>17</v>
      </c>
      <c r="D34" s="211"/>
      <c r="E34" s="204">
        <v>50569600</v>
      </c>
      <c r="F34" s="211"/>
      <c r="G34" s="211"/>
      <c r="H34" s="211"/>
      <c r="I34" s="287"/>
      <c r="J34" s="204"/>
      <c r="L34" s="176" t="s">
        <v>17</v>
      </c>
      <c r="M34" s="211"/>
      <c r="N34" s="204">
        <v>51028000</v>
      </c>
      <c r="O34" s="204">
        <v>44867260</v>
      </c>
      <c r="P34" s="204">
        <v>36015470</v>
      </c>
      <c r="Q34" s="204">
        <v>39358463</v>
      </c>
      <c r="R34" s="204"/>
      <c r="S34" s="204"/>
    </row>
    <row r="35" spans="2:19" ht="34.5" hidden="1" customHeight="1">
      <c r="C35" s="176" t="s">
        <v>19</v>
      </c>
      <c r="D35" s="211">
        <f t="shared" ref="D35:J35" si="9">SUM(D32:D34)</f>
        <v>0</v>
      </c>
      <c r="E35" s="204">
        <f t="shared" si="9"/>
        <v>151086505.98290601</v>
      </c>
      <c r="F35" s="211"/>
      <c r="G35" s="211">
        <f t="shared" si="9"/>
        <v>0</v>
      </c>
      <c r="H35" s="211">
        <f t="shared" si="9"/>
        <v>0</v>
      </c>
      <c r="I35" s="204">
        <f t="shared" si="9"/>
        <v>0</v>
      </c>
      <c r="J35" s="204">
        <f t="shared" si="9"/>
        <v>0</v>
      </c>
      <c r="L35" s="176" t="s">
        <v>19</v>
      </c>
      <c r="M35" s="211">
        <f t="shared" ref="M35:R35" si="10">SUM(M32:M34)</f>
        <v>0</v>
      </c>
      <c r="N35" s="204">
        <f t="shared" si="10"/>
        <v>151500300</v>
      </c>
      <c r="O35" s="204">
        <f t="shared" si="10"/>
        <v>131796890</v>
      </c>
      <c r="P35" s="204">
        <f t="shared" si="10"/>
        <v>105787218.3916083</v>
      </c>
      <c r="Q35" s="204">
        <f t="shared" si="10"/>
        <v>118559793.5</v>
      </c>
      <c r="R35" s="204">
        <f t="shared" si="10"/>
        <v>0</v>
      </c>
      <c r="S35" s="204"/>
    </row>
    <row r="36" spans="2:19" ht="34.5" hidden="1" customHeight="1">
      <c r="C36" s="176" t="s">
        <v>20</v>
      </c>
      <c r="D36" s="204"/>
      <c r="E36" s="210">
        <f>AVERAGE(E32:E34)</f>
        <v>50362168.660968669</v>
      </c>
      <c r="F36" s="204"/>
      <c r="G36" s="204"/>
      <c r="H36" s="204"/>
      <c r="I36" s="204"/>
      <c r="J36" s="204"/>
      <c r="L36" s="176" t="s">
        <v>20</v>
      </c>
      <c r="M36" s="204"/>
      <c r="N36" s="204">
        <f t="shared" ref="N36:Q36" si="11">AVERAGE(N32:N34)</f>
        <v>50500100</v>
      </c>
      <c r="O36" s="204">
        <f t="shared" si="11"/>
        <v>43932296.666666664</v>
      </c>
      <c r="P36" s="210">
        <f t="shared" si="11"/>
        <v>35262406.130536102</v>
      </c>
      <c r="Q36" s="204">
        <f t="shared" si="11"/>
        <v>39519931.166666664</v>
      </c>
      <c r="R36" s="204"/>
      <c r="S36" s="204">
        <f>+P36-M36</f>
        <v>35262406.130536102</v>
      </c>
    </row>
    <row r="37" spans="2:19" hidden="1"/>
    <row r="38" spans="2:19" ht="37.5" hidden="1" customHeight="1">
      <c r="C38" s="207" t="s">
        <v>35</v>
      </c>
      <c r="D38" s="208" t="s">
        <v>32</v>
      </c>
      <c r="E38" s="208" t="s">
        <v>4</v>
      </c>
      <c r="F38" s="208"/>
      <c r="G38" s="208" t="s">
        <v>6</v>
      </c>
      <c r="H38" s="208" t="s">
        <v>7</v>
      </c>
      <c r="I38" s="208" t="s">
        <v>8</v>
      </c>
      <c r="J38" s="208" t="s">
        <v>9</v>
      </c>
      <c r="L38" s="207" t="s">
        <v>36</v>
      </c>
      <c r="M38" s="208" t="s">
        <v>3</v>
      </c>
      <c r="N38" s="208" t="s">
        <v>4</v>
      </c>
      <c r="O38" s="208" t="s">
        <v>5</v>
      </c>
      <c r="P38" s="208" t="s">
        <v>6</v>
      </c>
      <c r="Q38" s="208" t="s">
        <v>7</v>
      </c>
      <c r="R38" s="208" t="s">
        <v>8</v>
      </c>
      <c r="S38" s="208" t="s">
        <v>9</v>
      </c>
    </row>
    <row r="39" spans="2:19" ht="37.5" hidden="1" customHeight="1">
      <c r="C39" s="176" t="s">
        <v>10</v>
      </c>
      <c r="D39" s="211"/>
      <c r="E39" s="204">
        <v>44779033.333333299</v>
      </c>
      <c r="F39" s="211"/>
      <c r="G39" s="204">
        <v>43140634.306172803</v>
      </c>
      <c r="H39" s="211"/>
      <c r="I39" s="288" t="s">
        <v>37</v>
      </c>
      <c r="J39" s="204"/>
      <c r="L39" s="176" t="s">
        <v>10</v>
      </c>
      <c r="M39" s="211"/>
      <c r="N39" s="204">
        <v>48954800</v>
      </c>
      <c r="O39" s="211"/>
      <c r="P39" s="211"/>
      <c r="Q39" s="211"/>
      <c r="R39" s="204"/>
      <c r="S39" s="204"/>
    </row>
    <row r="40" spans="2:19" ht="37.5" hidden="1" customHeight="1">
      <c r="C40" s="176" t="s">
        <v>15</v>
      </c>
      <c r="D40" s="211"/>
      <c r="E40" s="204">
        <v>49604300</v>
      </c>
      <c r="F40" s="211"/>
      <c r="G40" s="204">
        <v>48544446.959259301</v>
      </c>
      <c r="H40" s="211"/>
      <c r="I40" s="289"/>
      <c r="J40" s="204"/>
      <c r="L40" s="176" t="s">
        <v>15</v>
      </c>
      <c r="M40" s="211"/>
      <c r="N40" s="204">
        <v>53734500</v>
      </c>
      <c r="O40" s="211"/>
      <c r="P40" s="211"/>
      <c r="Q40" s="211"/>
      <c r="R40" s="204"/>
      <c r="S40" s="204"/>
    </row>
    <row r="41" spans="2:19" ht="37.5" hidden="1" customHeight="1">
      <c r="C41" s="176" t="s">
        <v>17</v>
      </c>
      <c r="D41" s="211"/>
      <c r="E41" s="204">
        <v>47565933.333333299</v>
      </c>
      <c r="F41" s="211"/>
      <c r="G41" s="204">
        <v>46842024.918518499</v>
      </c>
      <c r="H41" s="211"/>
      <c r="I41" s="290"/>
      <c r="J41" s="204"/>
      <c r="L41" s="176" t="s">
        <v>17</v>
      </c>
      <c r="M41" s="211"/>
      <c r="N41" s="204">
        <v>52290000</v>
      </c>
      <c r="O41" s="211"/>
      <c r="P41" s="211"/>
      <c r="Q41" s="211"/>
      <c r="R41" s="204"/>
      <c r="S41" s="204"/>
    </row>
    <row r="42" spans="2:19" ht="37.5" hidden="1" customHeight="1">
      <c r="C42" s="176" t="s">
        <v>19</v>
      </c>
      <c r="D42" s="211">
        <f t="shared" ref="D42:J42" si="12">SUM(D39:D41)</f>
        <v>0</v>
      </c>
      <c r="E42" s="204">
        <f t="shared" si="12"/>
        <v>141949266.6666666</v>
      </c>
      <c r="F42" s="211"/>
      <c r="G42" s="204">
        <f t="shared" si="12"/>
        <v>138527106.1839506</v>
      </c>
      <c r="H42" s="211">
        <f t="shared" si="12"/>
        <v>0</v>
      </c>
      <c r="I42" s="204">
        <f t="shared" si="12"/>
        <v>0</v>
      </c>
      <c r="J42" s="204">
        <f t="shared" si="12"/>
        <v>0</v>
      </c>
      <c r="L42" s="176" t="s">
        <v>19</v>
      </c>
      <c r="M42" s="211">
        <f t="shared" ref="M42:S42" si="13">SUM(M39:M41)</f>
        <v>0</v>
      </c>
      <c r="N42" s="204">
        <f t="shared" si="13"/>
        <v>154979300</v>
      </c>
      <c r="O42" s="211">
        <f t="shared" si="13"/>
        <v>0</v>
      </c>
      <c r="P42" s="211">
        <f t="shared" si="13"/>
        <v>0</v>
      </c>
      <c r="Q42" s="211">
        <f t="shared" si="13"/>
        <v>0</v>
      </c>
      <c r="R42" s="204">
        <f t="shared" si="13"/>
        <v>0</v>
      </c>
      <c r="S42" s="204">
        <f t="shared" si="13"/>
        <v>0</v>
      </c>
    </row>
    <row r="43" spans="2:19" ht="37.5" hidden="1" customHeight="1">
      <c r="C43" s="176" t="s">
        <v>20</v>
      </c>
      <c r="D43" s="204"/>
      <c r="E43" s="210">
        <f>AVERAGE(E39:E41)</f>
        <v>47316422.222222202</v>
      </c>
      <c r="F43" s="204"/>
      <c r="G43" s="210">
        <f>AVERAGE(G39:G41)</f>
        <v>46175702.06131687</v>
      </c>
      <c r="H43" s="204"/>
      <c r="I43" s="204"/>
      <c r="J43" s="204"/>
      <c r="L43" s="176" t="s">
        <v>20</v>
      </c>
      <c r="M43" s="204"/>
      <c r="N43" s="210">
        <f>AVERAGE(N39:N41)</f>
        <v>51659766.666666664</v>
      </c>
      <c r="O43" s="204"/>
      <c r="P43" s="204"/>
      <c r="Q43" s="204"/>
      <c r="R43" s="204"/>
      <c r="S43" s="204">
        <f>+P43-M43</f>
        <v>0</v>
      </c>
    </row>
    <row r="44" spans="2:19" hidden="1"/>
    <row r="45" spans="2:19" hidden="1"/>
    <row r="48" spans="2:19" ht="24" customHeight="1">
      <c r="B48" s="275" t="s">
        <v>38</v>
      </c>
      <c r="C48" s="274" t="s">
        <v>39</v>
      </c>
      <c r="D48" s="274" t="s">
        <v>40</v>
      </c>
      <c r="E48" s="274" t="s">
        <v>41</v>
      </c>
      <c r="F48" s="268" t="s">
        <v>3</v>
      </c>
      <c r="G48" s="269"/>
      <c r="H48" s="268" t="s">
        <v>42</v>
      </c>
      <c r="I48" s="269"/>
      <c r="J48" s="274" t="s">
        <v>43</v>
      </c>
      <c r="K48" s="274" t="s">
        <v>8</v>
      </c>
      <c r="L48" s="274"/>
      <c r="M48" s="274"/>
    </row>
    <row r="49" spans="2:16" ht="24" customHeight="1">
      <c r="B49" s="275"/>
      <c r="C49" s="274"/>
      <c r="D49" s="274"/>
      <c r="E49" s="274"/>
      <c r="F49" s="3" t="s">
        <v>1</v>
      </c>
      <c r="G49" s="6" t="s">
        <v>44</v>
      </c>
      <c r="H49" s="6" t="s">
        <v>1</v>
      </c>
      <c r="I49" s="6" t="s">
        <v>44</v>
      </c>
      <c r="J49" s="274"/>
      <c r="K49" s="274"/>
      <c r="L49" s="274"/>
      <c r="M49" s="274"/>
    </row>
    <row r="50" spans="2:16" ht="59.25" customHeight="1">
      <c r="B50" s="176" t="s">
        <v>4</v>
      </c>
      <c r="C50" s="176" t="s">
        <v>45</v>
      </c>
      <c r="D50" s="176" t="s">
        <v>10</v>
      </c>
      <c r="E50" s="131">
        <v>1</v>
      </c>
      <c r="F50" s="202">
        <f>Lexus!E16</f>
        <v>85121795</v>
      </c>
      <c r="G50" s="202">
        <f t="shared" ref="G50:G53" si="14">+F50*E50</f>
        <v>85121795</v>
      </c>
      <c r="H50" s="202">
        <f>+Lexus!K16</f>
        <v>71917200</v>
      </c>
      <c r="I50" s="202">
        <f t="shared" ref="I50:I53" si="15">+H50*E50</f>
        <v>71917200</v>
      </c>
      <c r="J50" s="212">
        <f t="shared" ref="J50:J53" si="16">+I50-G50</f>
        <v>-13204595</v>
      </c>
      <c r="K50" s="270" t="s">
        <v>46</v>
      </c>
      <c r="L50" s="271"/>
      <c r="M50" s="271"/>
    </row>
    <row r="51" spans="2:16" ht="31.5" customHeight="1">
      <c r="B51" s="276" t="s">
        <v>4</v>
      </c>
      <c r="C51" s="279" t="s">
        <v>47</v>
      </c>
      <c r="D51" s="176" t="s">
        <v>10</v>
      </c>
      <c r="E51" s="131">
        <v>1</v>
      </c>
      <c r="F51" s="202">
        <f>'Camry 2.5G'!E16</f>
        <v>42471157</v>
      </c>
      <c r="G51" s="202">
        <f t="shared" si="14"/>
        <v>42471157</v>
      </c>
      <c r="H51" s="202">
        <f>'Camry 2.5G'!E31</f>
        <v>40682600</v>
      </c>
      <c r="I51" s="202">
        <f t="shared" si="15"/>
        <v>40682600</v>
      </c>
      <c r="J51" s="212">
        <f t="shared" si="16"/>
        <v>-1788557</v>
      </c>
      <c r="K51" s="270" t="s">
        <v>14</v>
      </c>
      <c r="L51" s="271"/>
      <c r="M51" s="271"/>
    </row>
    <row r="52" spans="2:16" ht="31.5" customHeight="1">
      <c r="B52" s="277"/>
      <c r="C52" s="280"/>
      <c r="D52" s="176" t="s">
        <v>15</v>
      </c>
      <c r="E52" s="131">
        <v>1</v>
      </c>
      <c r="F52" s="202">
        <f>'Camry 2.5G'!H16</f>
        <v>45837757</v>
      </c>
      <c r="G52" s="202">
        <f t="shared" si="14"/>
        <v>45837757</v>
      </c>
      <c r="H52" s="202">
        <f>'Camry 2.5G'!H31</f>
        <v>45223800</v>
      </c>
      <c r="I52" s="202">
        <f t="shared" si="15"/>
        <v>45223800</v>
      </c>
      <c r="J52" s="212">
        <f t="shared" si="16"/>
        <v>-613957</v>
      </c>
      <c r="K52" s="270" t="s">
        <v>16</v>
      </c>
      <c r="L52" s="271"/>
      <c r="M52" s="271"/>
    </row>
    <row r="53" spans="2:16" ht="31.5" customHeight="1">
      <c r="B53" s="277"/>
      <c r="C53" s="280"/>
      <c r="D53" s="176" t="s">
        <v>17</v>
      </c>
      <c r="E53" s="131">
        <v>1</v>
      </c>
      <c r="F53" s="202">
        <f>'Camry 2.5G'!K16</f>
        <v>44133157</v>
      </c>
      <c r="G53" s="202">
        <f t="shared" si="14"/>
        <v>44133157</v>
      </c>
      <c r="H53" s="202">
        <f>'Camry 2.5G'!K31</f>
        <v>42965200</v>
      </c>
      <c r="I53" s="202">
        <f t="shared" si="15"/>
        <v>42965200</v>
      </c>
      <c r="J53" s="212">
        <f t="shared" si="16"/>
        <v>-1167957</v>
      </c>
      <c r="K53" s="271"/>
      <c r="L53" s="271"/>
      <c r="M53" s="271"/>
    </row>
    <row r="54" spans="2:16" ht="24" customHeight="1">
      <c r="B54" s="278"/>
      <c r="C54" s="281"/>
      <c r="D54" s="194" t="s">
        <v>48</v>
      </c>
      <c r="E54" s="178">
        <f t="shared" ref="E54:J54" si="17">SUM(E51:E53)</f>
        <v>3</v>
      </c>
      <c r="F54" s="214">
        <f t="shared" si="17"/>
        <v>132442071</v>
      </c>
      <c r="G54" s="214">
        <f t="shared" si="17"/>
        <v>132442071</v>
      </c>
      <c r="H54" s="214">
        <f t="shared" si="17"/>
        <v>128871600</v>
      </c>
      <c r="I54" s="214">
        <f t="shared" si="17"/>
        <v>128871600</v>
      </c>
      <c r="J54" s="217">
        <f t="shared" si="17"/>
        <v>-3570471</v>
      </c>
      <c r="K54" s="271"/>
      <c r="L54" s="271"/>
      <c r="M54" s="271"/>
    </row>
    <row r="55" spans="2:16" ht="31.5" customHeight="1">
      <c r="B55" s="279" t="s">
        <v>6</v>
      </c>
      <c r="C55" s="279" t="s">
        <v>47</v>
      </c>
      <c r="D55" s="176" t="s">
        <v>10</v>
      </c>
      <c r="E55" s="131">
        <v>1</v>
      </c>
      <c r="F55" s="202">
        <f t="shared" ref="F55:F57" si="18">F51</f>
        <v>42471157</v>
      </c>
      <c r="G55" s="202">
        <f t="shared" ref="G55:G57" si="19">+F55*E55</f>
        <v>42471157</v>
      </c>
      <c r="H55" s="202">
        <f>'Camry 2.5G'!E60</f>
        <v>33197822</v>
      </c>
      <c r="I55" s="202">
        <f t="shared" ref="I55:I57" si="20">+H55*E55</f>
        <v>33197822</v>
      </c>
      <c r="J55" s="212">
        <f t="shared" ref="J55:J57" si="21">+I55-G55</f>
        <v>-9273335</v>
      </c>
      <c r="K55" s="270" t="s">
        <v>14</v>
      </c>
      <c r="L55" s="271"/>
      <c r="M55" s="271"/>
    </row>
    <row r="56" spans="2:16" ht="31.5" customHeight="1">
      <c r="B56" s="280"/>
      <c r="C56" s="280"/>
      <c r="D56" s="176" t="s">
        <v>15</v>
      </c>
      <c r="E56" s="131">
        <v>1</v>
      </c>
      <c r="F56" s="202">
        <f t="shared" si="18"/>
        <v>45837757</v>
      </c>
      <c r="G56" s="202">
        <f t="shared" si="19"/>
        <v>45837757</v>
      </c>
      <c r="H56" s="202">
        <f>'Camry 2.5G'!H60</f>
        <v>38273422</v>
      </c>
      <c r="I56" s="202">
        <f t="shared" si="20"/>
        <v>38273422</v>
      </c>
      <c r="J56" s="212">
        <f t="shared" si="21"/>
        <v>-7564335</v>
      </c>
      <c r="K56" s="270" t="s">
        <v>16</v>
      </c>
      <c r="L56" s="271"/>
      <c r="M56" s="271"/>
    </row>
    <row r="57" spans="2:16" ht="31.5" customHeight="1">
      <c r="B57" s="280"/>
      <c r="C57" s="280"/>
      <c r="D57" s="176" t="s">
        <v>17</v>
      </c>
      <c r="E57" s="131">
        <v>1</v>
      </c>
      <c r="F57" s="202">
        <f t="shared" si="18"/>
        <v>44133157</v>
      </c>
      <c r="G57" s="202">
        <f t="shared" si="19"/>
        <v>44133157</v>
      </c>
      <c r="H57" s="202">
        <f>'Camry 2.5G'!K60</f>
        <v>35764522</v>
      </c>
      <c r="I57" s="202">
        <f t="shared" si="20"/>
        <v>35764522</v>
      </c>
      <c r="J57" s="212">
        <f t="shared" si="21"/>
        <v>-8368635</v>
      </c>
      <c r="K57" s="271"/>
      <c r="L57" s="271"/>
      <c r="M57" s="271"/>
    </row>
    <row r="58" spans="2:16" ht="31.5" customHeight="1">
      <c r="B58" s="281"/>
      <c r="C58" s="281"/>
      <c r="D58" s="194" t="s">
        <v>48</v>
      </c>
      <c r="E58" s="178">
        <f t="shared" ref="E58:J58" si="22">SUM(E55:E57)</f>
        <v>3</v>
      </c>
      <c r="F58" s="214">
        <f t="shared" si="22"/>
        <v>132442071</v>
      </c>
      <c r="G58" s="214">
        <f t="shared" si="22"/>
        <v>132442071</v>
      </c>
      <c r="H58" s="214">
        <f t="shared" si="22"/>
        <v>107235766</v>
      </c>
      <c r="I58" s="214">
        <f t="shared" si="22"/>
        <v>107235766</v>
      </c>
      <c r="J58" s="217">
        <f t="shared" si="22"/>
        <v>-25206305</v>
      </c>
      <c r="K58" s="272" t="s">
        <v>49</v>
      </c>
      <c r="L58" s="273"/>
      <c r="M58" s="273"/>
      <c r="N58" s="21">
        <f>J54-J58</f>
        <v>21635834</v>
      </c>
    </row>
    <row r="59" spans="2:16" ht="27" customHeight="1">
      <c r="B59" s="279" t="s">
        <v>6</v>
      </c>
      <c r="C59" s="279" t="s">
        <v>50</v>
      </c>
      <c r="D59" s="176" t="s">
        <v>10</v>
      </c>
      <c r="E59" s="131">
        <v>11</v>
      </c>
      <c r="F59" s="202">
        <f t="shared" ref="F59:F63" si="23">+G59/E59</f>
        <v>31078772.727272727</v>
      </c>
      <c r="G59" s="202">
        <f>'Innova '!E16</f>
        <v>341866500</v>
      </c>
      <c r="H59" s="202">
        <f t="shared" ref="H59:H63" si="24">+I59/E59</f>
        <v>30564345.272727273</v>
      </c>
      <c r="I59" s="202">
        <f>'Innova '!T78</f>
        <v>336207798</v>
      </c>
      <c r="J59" s="212">
        <f t="shared" ref="J59:J63" si="25">+I59-G59</f>
        <v>-5658702</v>
      </c>
      <c r="K59" s="270" t="s">
        <v>24</v>
      </c>
      <c r="L59" s="271"/>
      <c r="M59" s="271"/>
      <c r="N59" s="133">
        <f>N58/23000</f>
        <v>940.68843478260874</v>
      </c>
      <c r="O59">
        <f t="shared" ref="O59:O62" si="26">+F59/4000</f>
        <v>7769.693181818182</v>
      </c>
      <c r="P59">
        <f t="shared" ref="P59:P62" si="27">+H59/4300</f>
        <v>7107.9872727272732</v>
      </c>
    </row>
    <row r="60" spans="2:16" ht="28.5" customHeight="1">
      <c r="B60" s="280"/>
      <c r="C60" s="280"/>
      <c r="D60" s="176" t="s">
        <v>15</v>
      </c>
      <c r="E60" s="131">
        <v>7</v>
      </c>
      <c r="F60" s="202">
        <f t="shared" si="23"/>
        <v>31942000</v>
      </c>
      <c r="G60" s="202">
        <f>'Innova '!H16</f>
        <v>223594000</v>
      </c>
      <c r="H60" s="202">
        <f t="shared" si="24"/>
        <v>34883295.142857142</v>
      </c>
      <c r="I60" s="202">
        <f>'Innova '!W78</f>
        <v>244183066</v>
      </c>
      <c r="J60" s="212">
        <f t="shared" si="25"/>
        <v>20589066</v>
      </c>
      <c r="K60" s="291" t="s">
        <v>135</v>
      </c>
      <c r="L60" s="292"/>
      <c r="M60" s="293"/>
      <c r="N60" s="22" t="s">
        <v>52</v>
      </c>
      <c r="O60">
        <f t="shared" si="26"/>
        <v>7985.5</v>
      </c>
      <c r="P60">
        <f t="shared" si="27"/>
        <v>8112.3942192691029</v>
      </c>
    </row>
    <row r="61" spans="2:16" ht="28.5" customHeight="1">
      <c r="B61" s="280"/>
      <c r="C61" s="280"/>
      <c r="D61" s="215" t="s">
        <v>17</v>
      </c>
      <c r="E61" s="131">
        <v>1</v>
      </c>
      <c r="F61" s="202">
        <f t="shared" si="23"/>
        <v>44789186</v>
      </c>
      <c r="G61" s="202">
        <f>'Innova '!E32</f>
        <v>44789186</v>
      </c>
      <c r="H61" s="202">
        <f t="shared" si="24"/>
        <v>35320438</v>
      </c>
      <c r="I61" s="202">
        <f>'Innova '!H32</f>
        <v>35320438</v>
      </c>
      <c r="J61" s="212">
        <f t="shared" si="25"/>
        <v>-9468748</v>
      </c>
      <c r="K61" s="294"/>
      <c r="L61" s="295"/>
      <c r="M61" s="296"/>
      <c r="N61" s="22"/>
      <c r="O61">
        <f t="shared" si="26"/>
        <v>11197.2965</v>
      </c>
      <c r="P61">
        <f t="shared" si="27"/>
        <v>8214.0553488372097</v>
      </c>
    </row>
    <row r="62" spans="2:16" ht="28.5" customHeight="1">
      <c r="B62" s="280"/>
      <c r="C62" s="281"/>
      <c r="D62" s="176" t="s">
        <v>17</v>
      </c>
      <c r="E62" s="131">
        <v>7</v>
      </c>
      <c r="F62" s="202">
        <f t="shared" si="23"/>
        <v>31579357.142857142</v>
      </c>
      <c r="G62" s="202">
        <f>'Innova '!K16</f>
        <v>221055500</v>
      </c>
      <c r="H62" s="202">
        <f t="shared" si="24"/>
        <v>34611866.571428575</v>
      </c>
      <c r="I62" s="202">
        <f>'Innova '!Z78</f>
        <v>242283066</v>
      </c>
      <c r="J62" s="212">
        <f t="shared" si="25"/>
        <v>21227566</v>
      </c>
      <c r="K62" s="297"/>
      <c r="L62" s="298"/>
      <c r="M62" s="299"/>
      <c r="O62">
        <f t="shared" si="26"/>
        <v>7894.8392857142853</v>
      </c>
      <c r="P62">
        <f t="shared" si="27"/>
        <v>8049.2712956810637</v>
      </c>
    </row>
    <row r="63" spans="2:16" ht="37.5" customHeight="1">
      <c r="B63" s="280"/>
      <c r="C63" s="162" t="s">
        <v>53</v>
      </c>
      <c r="D63" s="176" t="s">
        <v>15</v>
      </c>
      <c r="E63" s="131">
        <v>1</v>
      </c>
      <c r="F63" s="202">
        <f t="shared" si="23"/>
        <v>44977000</v>
      </c>
      <c r="G63" s="202">
        <f>'Innova '!N16</f>
        <v>44977000</v>
      </c>
      <c r="H63" s="202">
        <f t="shared" si="24"/>
        <v>41645677.777777798</v>
      </c>
      <c r="I63" s="202">
        <f>'Innova '!AC78</f>
        <v>41645677.777777798</v>
      </c>
      <c r="J63" s="212">
        <f t="shared" si="25"/>
        <v>-3331322.2222222015</v>
      </c>
      <c r="K63" s="270" t="s">
        <v>54</v>
      </c>
      <c r="L63" s="271"/>
      <c r="M63" s="271"/>
      <c r="O63">
        <f>+F63/2600</f>
        <v>17298.846153846152</v>
      </c>
      <c r="P63">
        <f>+H63/4500</f>
        <v>9254.5950617283997</v>
      </c>
    </row>
    <row r="64" spans="2:16" ht="25.5" customHeight="1">
      <c r="B64" s="281"/>
      <c r="C64" s="213"/>
      <c r="D64" s="194" t="s">
        <v>48</v>
      </c>
      <c r="E64" s="178">
        <f t="shared" ref="E64:J64" si="28">SUM(E59:E63)</f>
        <v>27</v>
      </c>
      <c r="F64" s="214">
        <f t="shared" si="28"/>
        <v>184366315.87012985</v>
      </c>
      <c r="G64" s="214">
        <f t="shared" si="28"/>
        <v>876282186</v>
      </c>
      <c r="H64" s="214">
        <f t="shared" si="28"/>
        <v>177025622.76479077</v>
      </c>
      <c r="I64" s="214">
        <f t="shared" si="28"/>
        <v>899640045.77777779</v>
      </c>
      <c r="J64" s="217">
        <f t="shared" si="28"/>
        <v>23357859.777777798</v>
      </c>
      <c r="K64" s="272" t="s">
        <v>55</v>
      </c>
      <c r="L64" s="273"/>
      <c r="M64" s="273"/>
      <c r="O64" s="21"/>
    </row>
    <row r="65" spans="1:15" ht="27" customHeight="1">
      <c r="B65" s="279" t="s">
        <v>5</v>
      </c>
      <c r="C65" s="279" t="s">
        <v>50</v>
      </c>
      <c r="D65" s="176" t="s">
        <v>10</v>
      </c>
      <c r="E65" s="131">
        <v>11</v>
      </c>
      <c r="F65" s="202">
        <f t="shared" ref="F65:F69" si="29">+G65/E65</f>
        <v>31078772.727272727</v>
      </c>
      <c r="G65" s="202">
        <f t="shared" ref="G65:G69" si="30">G59</f>
        <v>341866500</v>
      </c>
      <c r="H65" s="202">
        <f t="shared" ref="H65:H69" si="31">+I65/E65</f>
        <v>34151556.363636367</v>
      </c>
      <c r="I65" s="202">
        <f>+'Innova '!E62</f>
        <v>375667120</v>
      </c>
      <c r="J65" s="212">
        <f t="shared" ref="J65:J69" si="32">+I65-G65</f>
        <v>33800620</v>
      </c>
      <c r="K65" s="270" t="s">
        <v>24</v>
      </c>
      <c r="L65" s="271"/>
      <c r="M65" s="271"/>
    </row>
    <row r="66" spans="1:15" ht="28.5" customHeight="1">
      <c r="B66" s="280"/>
      <c r="C66" s="280"/>
      <c r="D66" s="176" t="s">
        <v>15</v>
      </c>
      <c r="E66" s="131">
        <v>7</v>
      </c>
      <c r="F66" s="202">
        <f t="shared" si="29"/>
        <v>31942000</v>
      </c>
      <c r="G66" s="243">
        <f t="shared" si="30"/>
        <v>223594000</v>
      </c>
      <c r="H66" s="202">
        <f t="shared" si="31"/>
        <v>38040508.571428575</v>
      </c>
      <c r="I66" s="255">
        <f>+'Innova '!H62</f>
        <v>266283560</v>
      </c>
      <c r="J66" s="212">
        <f t="shared" si="32"/>
        <v>42689560</v>
      </c>
      <c r="K66" s="291" t="s">
        <v>135</v>
      </c>
      <c r="L66" s="292"/>
      <c r="M66" s="293"/>
      <c r="N66" s="22" t="s">
        <v>52</v>
      </c>
    </row>
    <row r="67" spans="1:15" ht="28.5" customHeight="1">
      <c r="B67" s="280"/>
      <c r="C67" s="280"/>
      <c r="D67" s="176" t="s">
        <v>17</v>
      </c>
      <c r="E67" s="131">
        <v>1</v>
      </c>
      <c r="F67" s="202">
        <f>+F61</f>
        <v>44789186</v>
      </c>
      <c r="G67" s="202">
        <f t="shared" si="30"/>
        <v>44789186</v>
      </c>
      <c r="H67" s="202">
        <f t="shared" si="31"/>
        <v>38479080</v>
      </c>
      <c r="I67" s="202">
        <f>'Innova '!K32</f>
        <v>38479080</v>
      </c>
      <c r="J67" s="212">
        <f t="shared" si="32"/>
        <v>-6310106</v>
      </c>
      <c r="K67" s="294"/>
      <c r="L67" s="295"/>
      <c r="M67" s="296"/>
      <c r="N67" s="22"/>
    </row>
    <row r="68" spans="1:15" ht="28.5" customHeight="1">
      <c r="B68" s="280"/>
      <c r="C68" s="281"/>
      <c r="D68" s="176" t="s">
        <v>17</v>
      </c>
      <c r="E68" s="131">
        <v>7</v>
      </c>
      <c r="F68" s="202">
        <f t="shared" si="29"/>
        <v>31579357.142857142</v>
      </c>
      <c r="G68" s="202">
        <f t="shared" si="30"/>
        <v>221055500</v>
      </c>
      <c r="H68" s="202">
        <f t="shared" si="31"/>
        <v>37695270.476190478</v>
      </c>
      <c r="I68" s="202">
        <f>+'Innova '!K62</f>
        <v>263866893.33333334</v>
      </c>
      <c r="J68" s="212">
        <f t="shared" si="32"/>
        <v>42811393.333333343</v>
      </c>
      <c r="K68" s="297"/>
      <c r="L68" s="298"/>
      <c r="M68" s="299"/>
    </row>
    <row r="69" spans="1:15" ht="37.5" customHeight="1">
      <c r="B69" s="280"/>
      <c r="C69" s="162" t="s">
        <v>53</v>
      </c>
      <c r="D69" s="176" t="s">
        <v>15</v>
      </c>
      <c r="E69" s="131">
        <v>1</v>
      </c>
      <c r="F69" s="202">
        <f t="shared" si="29"/>
        <v>44977000</v>
      </c>
      <c r="G69" s="202">
        <f t="shared" si="30"/>
        <v>44977000</v>
      </c>
      <c r="H69" s="202">
        <f t="shared" si="31"/>
        <v>45740200</v>
      </c>
      <c r="I69" s="255">
        <f>+'Innova '!N62</f>
        <v>45740200</v>
      </c>
      <c r="J69" s="212">
        <f t="shared" si="32"/>
        <v>763200</v>
      </c>
      <c r="K69" s="270" t="s">
        <v>54</v>
      </c>
      <c r="L69" s="271"/>
      <c r="M69" s="271"/>
    </row>
    <row r="70" spans="1:15" ht="26.25" customHeight="1">
      <c r="B70" s="281"/>
      <c r="C70" s="213"/>
      <c r="D70" s="194" t="s">
        <v>48</v>
      </c>
      <c r="E70" s="178">
        <f t="shared" ref="E70:J70" si="33">SUM(E65:E69)</f>
        <v>27</v>
      </c>
      <c r="F70" s="214">
        <f t="shared" si="33"/>
        <v>184366315.87012985</v>
      </c>
      <c r="G70" s="214">
        <f t="shared" si="33"/>
        <v>876282186</v>
      </c>
      <c r="H70" s="214">
        <f t="shared" si="33"/>
        <v>194106615.41125542</v>
      </c>
      <c r="I70" s="214">
        <f t="shared" si="33"/>
        <v>990036853.33333337</v>
      </c>
      <c r="J70" s="217">
        <f t="shared" si="33"/>
        <v>113754667.33333334</v>
      </c>
      <c r="K70" s="272" t="s">
        <v>57</v>
      </c>
      <c r="L70" s="273"/>
      <c r="M70" s="273"/>
      <c r="O70" s="21"/>
    </row>
    <row r="71" spans="1:15" ht="27" customHeight="1">
      <c r="B71" s="279" t="s">
        <v>7</v>
      </c>
      <c r="C71" s="279" t="s">
        <v>50</v>
      </c>
      <c r="D71" s="176" t="s">
        <v>10</v>
      </c>
      <c r="E71" s="131">
        <v>11</v>
      </c>
      <c r="F71" s="202">
        <f t="shared" ref="F71:F75" si="34">+G71/E71</f>
        <v>31078772.727272727</v>
      </c>
      <c r="G71" s="202">
        <f t="shared" ref="G71:G75" si="35">G65</f>
        <v>341866500</v>
      </c>
      <c r="H71" s="202">
        <f t="shared" ref="H71:H75" si="36">+I71/E71</f>
        <v>35291037.909090906</v>
      </c>
      <c r="I71" s="202">
        <f>'Innova '!T99</f>
        <v>388201417</v>
      </c>
      <c r="J71" s="212">
        <f t="shared" ref="J71:J75" si="37">+I71-G71</f>
        <v>46334917</v>
      </c>
      <c r="K71" s="270" t="s">
        <v>24</v>
      </c>
      <c r="L71" s="271"/>
      <c r="M71" s="271"/>
    </row>
    <row r="72" spans="1:15" ht="28.5" customHeight="1">
      <c r="B72" s="280"/>
      <c r="C72" s="280"/>
      <c r="D72" s="176" t="s">
        <v>15</v>
      </c>
      <c r="E72" s="131">
        <v>7</v>
      </c>
      <c r="F72" s="202">
        <f t="shared" si="34"/>
        <v>31942000</v>
      </c>
      <c r="G72" s="202">
        <f t="shared" si="35"/>
        <v>223594000</v>
      </c>
      <c r="H72" s="202">
        <f t="shared" si="36"/>
        <v>38196335.142857142</v>
      </c>
      <c r="I72" s="202">
        <f>'Innova '!W99</f>
        <v>267374346</v>
      </c>
      <c r="J72" s="212">
        <f t="shared" si="37"/>
        <v>43780346</v>
      </c>
      <c r="K72" s="291" t="s">
        <v>135</v>
      </c>
      <c r="L72" s="292"/>
      <c r="M72" s="293"/>
      <c r="N72" s="22" t="s">
        <v>52</v>
      </c>
    </row>
    <row r="73" spans="1:15" ht="28.5" customHeight="1">
      <c r="B73" s="280"/>
      <c r="C73" s="280"/>
      <c r="D73" s="176" t="s">
        <v>17</v>
      </c>
      <c r="E73" s="131">
        <v>1</v>
      </c>
      <c r="F73" s="202">
        <f>+F61</f>
        <v>44789186</v>
      </c>
      <c r="G73" s="202">
        <f t="shared" si="35"/>
        <v>44789186</v>
      </c>
      <c r="H73" s="202">
        <f t="shared" si="36"/>
        <v>265482679.33333334</v>
      </c>
      <c r="I73" s="202">
        <f>'Innova '!Z99</f>
        <v>265482679.33333334</v>
      </c>
      <c r="J73" s="212">
        <f t="shared" si="37"/>
        <v>220693493.33333334</v>
      </c>
      <c r="K73" s="294"/>
      <c r="L73" s="295"/>
      <c r="M73" s="296"/>
      <c r="N73" s="22"/>
    </row>
    <row r="74" spans="1:15" ht="28.5" customHeight="1">
      <c r="B74" s="280"/>
      <c r="C74" s="281"/>
      <c r="D74" s="176" t="s">
        <v>17</v>
      </c>
      <c r="E74" s="131">
        <v>7</v>
      </c>
      <c r="F74" s="202">
        <f t="shared" si="34"/>
        <v>31579357.142857142</v>
      </c>
      <c r="G74" s="202">
        <f t="shared" si="35"/>
        <v>221055500</v>
      </c>
      <c r="H74" s="202">
        <f t="shared" si="36"/>
        <v>5516925.4285714282</v>
      </c>
      <c r="I74" s="202">
        <f>'Innova '!N32</f>
        <v>38618478</v>
      </c>
      <c r="J74" s="212">
        <f t="shared" si="37"/>
        <v>-182437022</v>
      </c>
      <c r="K74" s="297"/>
      <c r="L74" s="298"/>
      <c r="M74" s="299"/>
    </row>
    <row r="75" spans="1:15" ht="37.5" customHeight="1">
      <c r="B75" s="280"/>
      <c r="C75" s="162" t="s">
        <v>53</v>
      </c>
      <c r="D75" s="176" t="s">
        <v>15</v>
      </c>
      <c r="E75" s="131">
        <v>1</v>
      </c>
      <c r="F75" s="202">
        <f t="shared" si="34"/>
        <v>44977000</v>
      </c>
      <c r="G75" s="202">
        <f t="shared" si="35"/>
        <v>44977000</v>
      </c>
      <c r="H75" s="202">
        <f t="shared" si="36"/>
        <v>43909973</v>
      </c>
      <c r="I75" s="202">
        <f>'Innova '!AC99</f>
        <v>43909973</v>
      </c>
      <c r="J75" s="212">
        <f t="shared" si="37"/>
        <v>-1067027</v>
      </c>
      <c r="K75" s="270" t="s">
        <v>54</v>
      </c>
      <c r="L75" s="271"/>
      <c r="M75" s="271"/>
    </row>
    <row r="76" spans="1:15" ht="25.5" customHeight="1">
      <c r="B76" s="281"/>
      <c r="C76" s="213"/>
      <c r="D76" s="194" t="s">
        <v>48</v>
      </c>
      <c r="E76" s="178">
        <f t="shared" ref="E76:J76" si="38">SUM(E71:E75)</f>
        <v>27</v>
      </c>
      <c r="F76" s="214">
        <f t="shared" si="38"/>
        <v>184366315.87012985</v>
      </c>
      <c r="G76" s="214">
        <f t="shared" si="38"/>
        <v>876282186</v>
      </c>
      <c r="H76" s="214">
        <f t="shared" si="38"/>
        <v>388396950.81385279</v>
      </c>
      <c r="I76" s="214">
        <f t="shared" si="38"/>
        <v>1003586893.3333334</v>
      </c>
      <c r="J76" s="217">
        <f t="shared" si="38"/>
        <v>127304707.33333337</v>
      </c>
      <c r="K76" s="272" t="s">
        <v>56</v>
      </c>
      <c r="L76" s="273"/>
      <c r="M76" s="273"/>
      <c r="O76" s="21"/>
    </row>
    <row r="77" spans="1:15" ht="27" customHeight="1">
      <c r="A77" s="21">
        <f>+I81-G75</f>
        <v>-4715846.0317460001</v>
      </c>
      <c r="B77" s="279" t="s">
        <v>6</v>
      </c>
      <c r="C77" s="279" t="s">
        <v>58</v>
      </c>
      <c r="D77" s="176" t="s">
        <v>10</v>
      </c>
      <c r="E77" s="131">
        <v>11</v>
      </c>
      <c r="F77" s="202">
        <f t="shared" ref="F77:F81" si="39">+G77/E77</f>
        <v>0</v>
      </c>
      <c r="G77" s="202"/>
      <c r="H77" s="202">
        <f t="shared" ref="H77:H81" si="40">+I77/E77</f>
        <v>29316184.90909091</v>
      </c>
      <c r="I77" s="202">
        <f>Xpander!T59</f>
        <v>322478034</v>
      </c>
      <c r="J77" s="212">
        <f>+I77-G77</f>
        <v>322478034</v>
      </c>
      <c r="K77" s="270" t="s">
        <v>24</v>
      </c>
      <c r="L77" s="271"/>
      <c r="M77" s="271"/>
    </row>
    <row r="78" spans="1:15" ht="28.5" customHeight="1">
      <c r="A78" s="21">
        <f>+J78-G66</f>
        <v>11897398</v>
      </c>
      <c r="B78" s="280"/>
      <c r="C78" s="280"/>
      <c r="D78" s="176" t="s">
        <v>15</v>
      </c>
      <c r="E78" s="131">
        <v>7</v>
      </c>
      <c r="F78" s="202">
        <f t="shared" si="39"/>
        <v>0</v>
      </c>
      <c r="G78" s="202"/>
      <c r="H78" s="202">
        <f t="shared" si="40"/>
        <v>33641628.285714284</v>
      </c>
      <c r="I78" s="202">
        <f>Xpander!W59</f>
        <v>235491398</v>
      </c>
      <c r="J78" s="256">
        <f t="shared" ref="J78:J81" si="41">+I78-G78</f>
        <v>235491398</v>
      </c>
      <c r="K78" s="291" t="s">
        <v>135</v>
      </c>
      <c r="L78" s="292"/>
      <c r="M78" s="293"/>
      <c r="N78" s="22" t="s">
        <v>52</v>
      </c>
    </row>
    <row r="79" spans="1:15" ht="28.5" customHeight="1">
      <c r="A79" s="21">
        <f>+A77+A78</f>
        <v>7181551.9682539999</v>
      </c>
      <c r="B79" s="280"/>
      <c r="C79" s="280"/>
      <c r="D79" s="176" t="s">
        <v>17</v>
      </c>
      <c r="E79" s="131">
        <v>1</v>
      </c>
      <c r="F79" s="202">
        <f t="shared" si="39"/>
        <v>0</v>
      </c>
      <c r="G79" s="202"/>
      <c r="H79" s="202">
        <f t="shared" si="40"/>
        <v>34060914</v>
      </c>
      <c r="I79" s="202">
        <f>Xpander!AF59</f>
        <v>34060914</v>
      </c>
      <c r="J79" s="212">
        <f t="shared" si="41"/>
        <v>34060914</v>
      </c>
      <c r="K79" s="294"/>
      <c r="L79" s="295"/>
      <c r="M79" s="296"/>
      <c r="N79" s="22"/>
    </row>
    <row r="80" spans="1:15" ht="28.5" customHeight="1">
      <c r="B80" s="280"/>
      <c r="C80" s="281"/>
      <c r="D80" s="176" t="s">
        <v>17</v>
      </c>
      <c r="E80" s="131">
        <v>7</v>
      </c>
      <c r="F80" s="202">
        <f t="shared" si="39"/>
        <v>0</v>
      </c>
      <c r="G80" s="202"/>
      <c r="H80" s="202">
        <f t="shared" si="40"/>
        <v>33363056.857142854</v>
      </c>
      <c r="I80" s="202">
        <f>Xpander!Z59</f>
        <v>233541397.99999997</v>
      </c>
      <c r="J80" s="212">
        <f t="shared" si="41"/>
        <v>233541397.99999997</v>
      </c>
      <c r="K80" s="297"/>
      <c r="L80" s="298"/>
      <c r="M80" s="299"/>
    </row>
    <row r="81" spans="2:15" ht="37.5" customHeight="1">
      <c r="B81" s="280"/>
      <c r="C81" s="162" t="s">
        <v>59</v>
      </c>
      <c r="D81" s="176" t="s">
        <v>15</v>
      </c>
      <c r="E81" s="131">
        <v>1</v>
      </c>
      <c r="F81" s="202">
        <f t="shared" si="39"/>
        <v>0</v>
      </c>
      <c r="G81" s="202"/>
      <c r="H81" s="202">
        <f t="shared" si="40"/>
        <v>40261153.968254</v>
      </c>
      <c r="I81" s="202">
        <f>Xpander!AC59</f>
        <v>40261153.968254</v>
      </c>
      <c r="J81" s="212">
        <f t="shared" si="41"/>
        <v>40261153.968254</v>
      </c>
      <c r="K81" s="270" t="s">
        <v>54</v>
      </c>
      <c r="L81" s="271"/>
      <c r="M81" s="271"/>
    </row>
    <row r="82" spans="2:15" ht="25.5" customHeight="1">
      <c r="B82" s="281"/>
      <c r="C82" s="213"/>
      <c r="D82" s="194" t="s">
        <v>48</v>
      </c>
      <c r="E82" s="178">
        <f t="shared" ref="E82:J82" si="42">SUM(E77:E81)</f>
        <v>27</v>
      </c>
      <c r="F82" s="214">
        <f t="shared" si="42"/>
        <v>0</v>
      </c>
      <c r="G82" s="214">
        <f t="shared" si="42"/>
        <v>0</v>
      </c>
      <c r="H82" s="214">
        <f t="shared" si="42"/>
        <v>170642938.02020204</v>
      </c>
      <c r="I82" s="214">
        <f t="shared" si="42"/>
        <v>865832897.96825397</v>
      </c>
      <c r="J82" s="217">
        <f t="shared" si="42"/>
        <v>865832897.96825397</v>
      </c>
      <c r="K82" s="273"/>
      <c r="L82" s="273"/>
      <c r="M82" s="273"/>
      <c r="O82" s="21"/>
    </row>
    <row r="83" spans="2:15" ht="32.1" customHeight="1">
      <c r="B83" s="276" t="s">
        <v>4</v>
      </c>
      <c r="C83" s="276" t="s">
        <v>60</v>
      </c>
      <c r="D83" s="176" t="s">
        <v>61</v>
      </c>
      <c r="E83" s="131">
        <v>18</v>
      </c>
      <c r="F83" s="202">
        <f>G83/E83</f>
        <v>43991472.081349209</v>
      </c>
      <c r="G83" s="202">
        <f>'11 seats (Hiace)'!E15</f>
        <v>791846497.46428573</v>
      </c>
      <c r="H83" s="202">
        <f>I83/E83</f>
        <v>41572091.359126985</v>
      </c>
      <c r="I83" s="244">
        <f>'11 seats (Hiace)'!Q30</f>
        <v>748297644.46428573</v>
      </c>
      <c r="J83" s="212">
        <f>+I83-G83</f>
        <v>-43548853</v>
      </c>
      <c r="K83" s="270" t="s">
        <v>62</v>
      </c>
      <c r="L83" s="271"/>
      <c r="M83" s="271"/>
    </row>
    <row r="84" spans="2:15" ht="30" customHeight="1">
      <c r="B84" s="277"/>
      <c r="C84" s="277"/>
      <c r="D84" s="176" t="s">
        <v>63</v>
      </c>
      <c r="E84" s="131">
        <v>10</v>
      </c>
      <c r="F84" s="202">
        <f>G84/E84</f>
        <v>47874595.346428573</v>
      </c>
      <c r="G84" s="202">
        <f>'11 seats (Hiace)'!Q15</f>
        <v>478745953.46428573</v>
      </c>
      <c r="H84" s="202">
        <f>I84/E84</f>
        <v>45255284.446428567</v>
      </c>
      <c r="I84" s="384">
        <f>'11 seats (Hiace)'!Q45</f>
        <v>452552844.46428567</v>
      </c>
      <c r="J84" s="212">
        <f>+I84-G84</f>
        <v>-26193109.00000006</v>
      </c>
      <c r="K84" s="271"/>
      <c r="L84" s="271"/>
      <c r="M84" s="271"/>
    </row>
    <row r="85" spans="2:15" ht="33" customHeight="1">
      <c r="B85" s="277"/>
      <c r="C85" s="277"/>
      <c r="D85" s="162" t="s">
        <v>64</v>
      </c>
      <c r="E85" s="176">
        <v>8</v>
      </c>
      <c r="F85" s="218"/>
      <c r="G85" s="218"/>
      <c r="H85" s="202">
        <f>'11 seats (Hiace)'!O60</f>
        <v>52823000</v>
      </c>
      <c r="I85" s="202">
        <f t="shared" ref="I85:I88" si="43">H85*$E$85</f>
        <v>422584000</v>
      </c>
      <c r="J85" s="219"/>
      <c r="K85" s="271"/>
      <c r="L85" s="271"/>
      <c r="M85" s="271"/>
    </row>
    <row r="86" spans="2:15" ht="33" customHeight="1">
      <c r="B86" s="277"/>
      <c r="C86" s="277"/>
      <c r="D86" s="162" t="s">
        <v>65</v>
      </c>
      <c r="E86" s="176">
        <v>8</v>
      </c>
      <c r="F86" s="218"/>
      <c r="G86" s="218"/>
      <c r="H86" s="202">
        <f>'11 seats (Hiace)'!O74</f>
        <v>48728000</v>
      </c>
      <c r="I86" s="384">
        <f t="shared" si="43"/>
        <v>389824000</v>
      </c>
      <c r="J86" s="219"/>
      <c r="K86" s="271"/>
      <c r="L86" s="271"/>
      <c r="M86" s="271"/>
    </row>
    <row r="87" spans="2:15" ht="33" customHeight="1">
      <c r="B87" s="277"/>
      <c r="C87" s="277"/>
      <c r="D87" s="162" t="s">
        <v>66</v>
      </c>
      <c r="E87" s="176">
        <v>8</v>
      </c>
      <c r="F87" s="218"/>
      <c r="G87" s="218"/>
      <c r="H87" s="202">
        <f>'11 seats (Transit)'!O96</f>
        <v>45794000</v>
      </c>
      <c r="I87" s="202">
        <f t="shared" si="43"/>
        <v>366352000</v>
      </c>
      <c r="J87" s="219"/>
      <c r="K87" s="271"/>
      <c r="L87" s="271"/>
      <c r="M87" s="271"/>
    </row>
    <row r="88" spans="2:15" ht="36.75" customHeight="1">
      <c r="B88" s="277"/>
      <c r="C88" s="277"/>
      <c r="D88" s="162" t="s">
        <v>67</v>
      </c>
      <c r="E88" s="176">
        <v>8</v>
      </c>
      <c r="F88" s="218"/>
      <c r="G88" s="218"/>
      <c r="H88" s="202">
        <f>'11 seats (Transit)'!O126</f>
        <v>42657000</v>
      </c>
      <c r="I88" s="202">
        <f t="shared" si="43"/>
        <v>341256000</v>
      </c>
      <c r="J88" s="219"/>
      <c r="K88" s="271"/>
      <c r="L88" s="271"/>
      <c r="M88" s="271"/>
    </row>
    <row r="89" spans="2:15" ht="33" customHeight="1">
      <c r="B89" s="277"/>
      <c r="C89" s="277"/>
      <c r="D89" s="162" t="s">
        <v>68</v>
      </c>
      <c r="E89" s="176" t="s">
        <v>69</v>
      </c>
      <c r="F89" s="218"/>
      <c r="G89" s="218"/>
      <c r="H89" s="202">
        <f>I89/8</f>
        <v>49308500</v>
      </c>
      <c r="I89" s="202">
        <f>4*H85+4*H87</f>
        <v>394468000</v>
      </c>
      <c r="J89" s="219"/>
      <c r="K89" s="271"/>
      <c r="L89" s="271"/>
      <c r="M89" s="271"/>
    </row>
    <row r="90" spans="2:15" ht="33" customHeight="1">
      <c r="B90" s="277"/>
      <c r="C90" s="277"/>
      <c r="D90" s="162" t="s">
        <v>70</v>
      </c>
      <c r="E90" s="176" t="s">
        <v>69</v>
      </c>
      <c r="F90" s="218"/>
      <c r="G90" s="218"/>
      <c r="H90" s="202">
        <f>I90/8</f>
        <v>45692500</v>
      </c>
      <c r="I90" s="202">
        <f>4*H86+4*H88</f>
        <v>365540000</v>
      </c>
      <c r="J90" s="219"/>
      <c r="K90" s="271"/>
      <c r="L90" s="271"/>
      <c r="M90" s="271"/>
    </row>
    <row r="91" spans="2:15" ht="33" customHeight="1">
      <c r="B91" s="277"/>
      <c r="C91" s="277"/>
      <c r="D91" s="176" t="s">
        <v>71</v>
      </c>
      <c r="E91" s="176"/>
      <c r="F91" s="202"/>
      <c r="G91" s="202">
        <f t="shared" ref="G91:G96" si="44">$G$83</f>
        <v>791846497.46428573</v>
      </c>
      <c r="H91" s="202"/>
      <c r="I91" s="202">
        <f t="shared" ref="I91:I96" si="45">$I$84+I85</f>
        <v>875136844.46428561</v>
      </c>
      <c r="J91" s="212">
        <f t="shared" ref="J91:J98" si="46">+I91-G91</f>
        <v>83290346.999999881</v>
      </c>
      <c r="K91" s="271"/>
      <c r="L91" s="271"/>
      <c r="M91" s="271"/>
    </row>
    <row r="92" spans="2:15" ht="33" customHeight="1">
      <c r="B92" s="277"/>
      <c r="C92" s="277"/>
      <c r="D92" s="176" t="s">
        <v>72</v>
      </c>
      <c r="E92" s="176"/>
      <c r="F92" s="202"/>
      <c r="G92" s="202">
        <f t="shared" si="44"/>
        <v>791846497.46428573</v>
      </c>
      <c r="H92" s="202"/>
      <c r="I92" s="202">
        <f t="shared" si="45"/>
        <v>842376844.46428561</v>
      </c>
      <c r="J92" s="212">
        <f t="shared" si="46"/>
        <v>50530346.999999881</v>
      </c>
      <c r="K92" s="271"/>
      <c r="L92" s="271"/>
      <c r="M92" s="271"/>
    </row>
    <row r="93" spans="2:15" ht="33" customHeight="1">
      <c r="B93" s="277"/>
      <c r="C93" s="277"/>
      <c r="D93" s="176" t="s">
        <v>73</v>
      </c>
      <c r="E93" s="176"/>
      <c r="F93" s="202"/>
      <c r="G93" s="202">
        <f t="shared" si="44"/>
        <v>791846497.46428573</v>
      </c>
      <c r="H93" s="202"/>
      <c r="I93" s="202">
        <f t="shared" si="45"/>
        <v>818904844.46428561</v>
      </c>
      <c r="J93" s="212">
        <f t="shared" si="46"/>
        <v>27058346.999999881</v>
      </c>
      <c r="K93" s="271"/>
      <c r="L93" s="271"/>
      <c r="M93" s="271"/>
    </row>
    <row r="94" spans="2:15" ht="33" customHeight="1">
      <c r="B94" s="277"/>
      <c r="C94" s="277"/>
      <c r="D94" s="176" t="s">
        <v>74</v>
      </c>
      <c r="E94" s="176"/>
      <c r="F94" s="202"/>
      <c r="G94" s="202">
        <f t="shared" si="44"/>
        <v>791846497.46428573</v>
      </c>
      <c r="H94" s="202"/>
      <c r="I94" s="202">
        <f t="shared" si="45"/>
        <v>793808844.46428561</v>
      </c>
      <c r="J94" s="212">
        <f t="shared" si="46"/>
        <v>1962346.9999998808</v>
      </c>
      <c r="K94" s="271"/>
      <c r="L94" s="271"/>
      <c r="M94" s="271"/>
    </row>
    <row r="95" spans="2:15" ht="33" customHeight="1">
      <c r="B95" s="277"/>
      <c r="C95" s="277"/>
      <c r="D95" s="176" t="s">
        <v>75</v>
      </c>
      <c r="E95" s="176"/>
      <c r="F95" s="202"/>
      <c r="G95" s="202">
        <f t="shared" si="44"/>
        <v>791846497.46428573</v>
      </c>
      <c r="H95" s="202"/>
      <c r="I95" s="202">
        <f t="shared" si="45"/>
        <v>847020844.46428561</v>
      </c>
      <c r="J95" s="212">
        <f t="shared" si="46"/>
        <v>55174346.999999881</v>
      </c>
      <c r="K95" s="271"/>
      <c r="L95" s="271"/>
      <c r="M95" s="271"/>
    </row>
    <row r="96" spans="2:15" ht="33" customHeight="1">
      <c r="B96" s="277"/>
      <c r="C96" s="277"/>
      <c r="D96" s="176" t="s">
        <v>76</v>
      </c>
      <c r="E96" s="176"/>
      <c r="F96" s="202"/>
      <c r="G96" s="202">
        <f t="shared" si="44"/>
        <v>791846497.46428573</v>
      </c>
      <c r="H96" s="202"/>
      <c r="I96" s="202">
        <f t="shared" si="45"/>
        <v>818092844.46428561</v>
      </c>
      <c r="J96" s="210">
        <f t="shared" si="46"/>
        <v>26246346.999999881</v>
      </c>
      <c r="K96" s="271"/>
      <c r="L96" s="271"/>
      <c r="M96" s="271"/>
    </row>
    <row r="97" spans="2:13" ht="32.1" customHeight="1">
      <c r="B97" s="276"/>
      <c r="C97" s="276" t="s">
        <v>77</v>
      </c>
      <c r="D97" s="176" t="s">
        <v>61</v>
      </c>
      <c r="E97" s="131">
        <v>19</v>
      </c>
      <c r="F97" s="202">
        <f>G97/E97</f>
        <v>50316781.684210524</v>
      </c>
      <c r="G97" s="202">
        <f>'11 seats (Hiace)'!H15</f>
        <v>956018852</v>
      </c>
      <c r="H97" s="202">
        <f>I97/E97</f>
        <v>46883504.210526317</v>
      </c>
      <c r="I97" s="202">
        <f>'11 seats (Hiace)'!T30</f>
        <v>890786580</v>
      </c>
      <c r="J97" s="212">
        <f t="shared" si="46"/>
        <v>-65232272</v>
      </c>
      <c r="K97" s="270" t="s">
        <v>78</v>
      </c>
      <c r="L97" s="271"/>
      <c r="M97" s="271"/>
    </row>
    <row r="98" spans="2:13" ht="30" customHeight="1">
      <c r="B98" s="277"/>
      <c r="C98" s="277"/>
      <c r="D98" s="176" t="s">
        <v>63</v>
      </c>
      <c r="E98" s="131">
        <v>11</v>
      </c>
      <c r="F98" s="202">
        <f>G98/E98</f>
        <v>0</v>
      </c>
      <c r="G98" s="202"/>
      <c r="H98" s="202">
        <f>I98/E98</f>
        <v>50693398.18181818</v>
      </c>
      <c r="I98" s="244">
        <f>'11 seats (Hiace)'!AH59</f>
        <v>557627380</v>
      </c>
      <c r="J98" s="212">
        <f t="shared" si="46"/>
        <v>557627380</v>
      </c>
      <c r="K98" s="271"/>
      <c r="L98" s="271"/>
      <c r="M98" s="271"/>
    </row>
    <row r="99" spans="2:13" ht="33" customHeight="1">
      <c r="B99" s="277"/>
      <c r="C99" s="277"/>
      <c r="D99" s="162" t="s">
        <v>79</v>
      </c>
      <c r="E99" s="176">
        <v>8</v>
      </c>
      <c r="F99" s="218"/>
      <c r="G99" s="218"/>
      <c r="H99" s="202">
        <f>'11 seats (Hiace)'!R60</f>
        <v>55697000</v>
      </c>
      <c r="I99" s="202">
        <f t="shared" ref="I99:I102" si="47">H99*$E$99</f>
        <v>445576000</v>
      </c>
      <c r="J99" s="219"/>
      <c r="K99" s="271"/>
      <c r="L99" s="271"/>
      <c r="M99" s="271"/>
    </row>
    <row r="100" spans="2:13" ht="33" customHeight="1">
      <c r="B100" s="277"/>
      <c r="C100" s="277"/>
      <c r="D100" s="162" t="s">
        <v>80</v>
      </c>
      <c r="E100" s="176">
        <v>8</v>
      </c>
      <c r="F100" s="218"/>
      <c r="G100" s="218"/>
      <c r="H100" s="202">
        <f>'11 seats (Hiace)'!R74</f>
        <v>51602000</v>
      </c>
      <c r="I100" s="202">
        <f t="shared" si="47"/>
        <v>412816000</v>
      </c>
      <c r="J100" s="219"/>
      <c r="K100" s="271"/>
      <c r="L100" s="271"/>
      <c r="M100" s="271"/>
    </row>
    <row r="101" spans="2:13" ht="33" customHeight="1">
      <c r="B101" s="277"/>
      <c r="C101" s="277"/>
      <c r="D101" s="162" t="s">
        <v>81</v>
      </c>
      <c r="E101" s="176">
        <v>8</v>
      </c>
      <c r="F101" s="218"/>
      <c r="G101" s="218"/>
      <c r="H101" s="202">
        <f>'11 seats (Transit)'!R96</f>
        <v>48668000</v>
      </c>
      <c r="I101" s="202">
        <f t="shared" si="47"/>
        <v>389344000</v>
      </c>
      <c r="J101" s="219"/>
      <c r="K101" s="271"/>
      <c r="L101" s="271"/>
      <c r="M101" s="271"/>
    </row>
    <row r="102" spans="2:13" ht="33" customHeight="1">
      <c r="B102" s="277"/>
      <c r="C102" s="277"/>
      <c r="D102" s="162" t="s">
        <v>82</v>
      </c>
      <c r="E102" s="176">
        <v>8</v>
      </c>
      <c r="F102" s="218"/>
      <c r="G102" s="218"/>
      <c r="H102" s="202">
        <f>'11 seats (Transit)'!R126</f>
        <v>45531000</v>
      </c>
      <c r="I102" s="202">
        <f t="shared" si="47"/>
        <v>364248000</v>
      </c>
      <c r="J102" s="219"/>
      <c r="K102" s="271"/>
      <c r="L102" s="271"/>
      <c r="M102" s="271"/>
    </row>
    <row r="103" spans="2:13" ht="33" customHeight="1">
      <c r="B103" s="277"/>
      <c r="C103" s="277"/>
      <c r="D103" s="162" t="s">
        <v>83</v>
      </c>
      <c r="E103" s="176" t="s">
        <v>69</v>
      </c>
      <c r="F103" s="218"/>
      <c r="G103" s="218"/>
      <c r="H103" s="202">
        <f>I103/E99</f>
        <v>52182500</v>
      </c>
      <c r="I103" s="202">
        <f>H99*4+H101*4</f>
        <v>417460000</v>
      </c>
      <c r="J103" s="219"/>
      <c r="K103" s="271"/>
      <c r="L103" s="271"/>
      <c r="M103" s="271"/>
    </row>
    <row r="104" spans="2:13" ht="33" customHeight="1">
      <c r="B104" s="277"/>
      <c r="C104" s="277"/>
      <c r="D104" s="162" t="s">
        <v>85</v>
      </c>
      <c r="E104" s="176" t="s">
        <v>69</v>
      </c>
      <c r="F104" s="218"/>
      <c r="G104" s="218"/>
      <c r="H104" s="202">
        <f>I104/E99</f>
        <v>48566500</v>
      </c>
      <c r="I104" s="202">
        <f>H100*4+H102*4</f>
        <v>388532000</v>
      </c>
      <c r="J104" s="219"/>
      <c r="K104" s="271"/>
      <c r="L104" s="271"/>
      <c r="M104" s="271"/>
    </row>
    <row r="105" spans="2:13" ht="33" customHeight="1">
      <c r="B105" s="277"/>
      <c r="C105" s="277"/>
      <c r="D105" s="176" t="s">
        <v>71</v>
      </c>
      <c r="E105" s="176"/>
      <c r="F105" s="202"/>
      <c r="G105" s="202">
        <f t="shared" ref="G105:G110" si="48">$G$97</f>
        <v>956018852</v>
      </c>
      <c r="H105" s="202"/>
      <c r="I105" s="202">
        <f t="shared" ref="I105:I110" si="49">$I$98+I99</f>
        <v>1003203380</v>
      </c>
      <c r="J105" s="212">
        <f t="shared" ref="J105:J112" si="50">+I105-G105</f>
        <v>47184528</v>
      </c>
      <c r="K105" s="271"/>
      <c r="L105" s="271"/>
      <c r="M105" s="271"/>
    </row>
    <row r="106" spans="2:13" ht="33" customHeight="1">
      <c r="B106" s="277"/>
      <c r="C106" s="277"/>
      <c r="D106" s="176" t="s">
        <v>72</v>
      </c>
      <c r="E106" s="176"/>
      <c r="F106" s="202"/>
      <c r="G106" s="202">
        <f t="shared" si="48"/>
        <v>956018852</v>
      </c>
      <c r="H106" s="202"/>
      <c r="I106" s="243">
        <f t="shared" si="49"/>
        <v>970443380</v>
      </c>
      <c r="J106" s="212">
        <f t="shared" si="50"/>
        <v>14424528</v>
      </c>
      <c r="K106" s="271"/>
      <c r="L106" s="271"/>
      <c r="M106" s="271"/>
    </row>
    <row r="107" spans="2:13" ht="33" customHeight="1">
      <c r="B107" s="277"/>
      <c r="C107" s="277"/>
      <c r="D107" s="176" t="s">
        <v>73</v>
      </c>
      <c r="E107" s="176"/>
      <c r="F107" s="202"/>
      <c r="G107" s="202">
        <f t="shared" si="48"/>
        <v>956018852</v>
      </c>
      <c r="H107" s="202"/>
      <c r="I107" s="202">
        <f t="shared" si="49"/>
        <v>946971380</v>
      </c>
      <c r="J107" s="210">
        <f t="shared" si="50"/>
        <v>-9047472</v>
      </c>
      <c r="K107" s="271"/>
      <c r="L107" s="271"/>
      <c r="M107" s="271"/>
    </row>
    <row r="108" spans="2:13" ht="33" customHeight="1">
      <c r="B108" s="277"/>
      <c r="C108" s="277"/>
      <c r="D108" s="176" t="s">
        <v>74</v>
      </c>
      <c r="E108" s="176"/>
      <c r="F108" s="202"/>
      <c r="G108" s="202">
        <f t="shared" si="48"/>
        <v>956018852</v>
      </c>
      <c r="H108" s="202"/>
      <c r="I108" s="202">
        <f t="shared" si="49"/>
        <v>921875380</v>
      </c>
      <c r="J108" s="212">
        <f t="shared" si="50"/>
        <v>-34143472</v>
      </c>
      <c r="K108" s="271"/>
      <c r="L108" s="271"/>
      <c r="M108" s="271"/>
    </row>
    <row r="109" spans="2:13" ht="33" customHeight="1">
      <c r="B109" s="277"/>
      <c r="C109" s="277"/>
      <c r="D109" s="176" t="s">
        <v>75</v>
      </c>
      <c r="E109" s="176"/>
      <c r="F109" s="202"/>
      <c r="G109" s="202">
        <f t="shared" si="48"/>
        <v>956018852</v>
      </c>
      <c r="H109" s="202"/>
      <c r="I109" s="202">
        <f t="shared" si="49"/>
        <v>975087380</v>
      </c>
      <c r="J109" s="212">
        <f t="shared" si="50"/>
        <v>19068528</v>
      </c>
      <c r="K109" s="271"/>
      <c r="L109" s="271"/>
      <c r="M109" s="271"/>
    </row>
    <row r="110" spans="2:13" ht="33" customHeight="1">
      <c r="B110" s="277"/>
      <c r="C110" s="277"/>
      <c r="D110" s="176" t="s">
        <v>76</v>
      </c>
      <c r="E110" s="176"/>
      <c r="F110" s="202"/>
      <c r="G110" s="202">
        <f t="shared" si="48"/>
        <v>956018852</v>
      </c>
      <c r="H110" s="202"/>
      <c r="I110" s="202">
        <f t="shared" si="49"/>
        <v>946159380</v>
      </c>
      <c r="J110" s="210">
        <f t="shared" si="50"/>
        <v>-9859472</v>
      </c>
      <c r="K110" s="271"/>
      <c r="L110" s="271"/>
      <c r="M110" s="271"/>
    </row>
    <row r="111" spans="2:13" ht="32.1" customHeight="1">
      <c r="B111" s="276"/>
      <c r="C111" s="276" t="s">
        <v>86</v>
      </c>
      <c r="D111" s="176" t="s">
        <v>61</v>
      </c>
      <c r="E111" s="131">
        <v>6</v>
      </c>
      <c r="F111" s="202">
        <f>G111/E111</f>
        <v>46126944.666666664</v>
      </c>
      <c r="G111" s="202">
        <f>'11 seats (Hiace)'!K15</f>
        <v>276761668</v>
      </c>
      <c r="H111" s="202">
        <f>I111/E111</f>
        <v>45518034.444444448</v>
      </c>
      <c r="I111" s="202">
        <f>'11 seats (Hiace)'!W30</f>
        <v>273108206.66666669</v>
      </c>
      <c r="J111" s="212">
        <f t="shared" si="50"/>
        <v>-3653461.3333333135</v>
      </c>
      <c r="K111" s="270" t="s">
        <v>28</v>
      </c>
      <c r="L111" s="271"/>
      <c r="M111" s="271"/>
    </row>
    <row r="112" spans="2:13" ht="30" customHeight="1">
      <c r="B112" s="277"/>
      <c r="C112" s="277"/>
      <c r="D112" s="176" t="s">
        <v>63</v>
      </c>
      <c r="E112" s="131">
        <v>4</v>
      </c>
      <c r="F112" s="202">
        <f>G112/E112</f>
        <v>0</v>
      </c>
      <c r="G112" s="202"/>
      <c r="H112" s="202">
        <f>I112/E112</f>
        <v>47454601.666666657</v>
      </c>
      <c r="I112" s="244">
        <f>'11 seats (Hiace)'!AK59</f>
        <v>189818406.66666663</v>
      </c>
      <c r="J112" s="212">
        <f t="shared" si="50"/>
        <v>189818406.66666663</v>
      </c>
      <c r="K112" s="271"/>
      <c r="L112" s="271"/>
      <c r="M112" s="271"/>
    </row>
    <row r="113" spans="2:13" ht="33" customHeight="1">
      <c r="B113" s="277"/>
      <c r="C113" s="277"/>
      <c r="D113" s="162" t="s">
        <v>87</v>
      </c>
      <c r="E113" s="176">
        <v>2</v>
      </c>
      <c r="F113" s="218"/>
      <c r="G113" s="218"/>
      <c r="H113" s="202">
        <f>'11 seats (Hiace)'!U60</f>
        <v>55697000</v>
      </c>
      <c r="I113" s="202">
        <f t="shared" ref="I113:I116" si="51">H113*$E$113</f>
        <v>111394000</v>
      </c>
      <c r="J113" s="219"/>
      <c r="K113" s="271"/>
      <c r="L113" s="271"/>
      <c r="M113" s="271"/>
    </row>
    <row r="114" spans="2:13" ht="33" customHeight="1">
      <c r="B114" s="277"/>
      <c r="C114" s="277"/>
      <c r="D114" s="162" t="s">
        <v>88</v>
      </c>
      <c r="E114" s="176">
        <v>2</v>
      </c>
      <c r="F114" s="218"/>
      <c r="G114" s="218"/>
      <c r="H114" s="202">
        <f>'11 seats (Hiace)'!U74</f>
        <v>51602000</v>
      </c>
      <c r="I114" s="214">
        <f t="shared" si="51"/>
        <v>103204000</v>
      </c>
      <c r="J114" s="219"/>
      <c r="K114" s="271">
        <f>I114-I116</f>
        <v>12142000</v>
      </c>
      <c r="L114" s="271"/>
      <c r="M114" s="271"/>
    </row>
    <row r="115" spans="2:13" ht="33" customHeight="1">
      <c r="B115" s="277"/>
      <c r="C115" s="277"/>
      <c r="D115" s="162" t="s">
        <v>89</v>
      </c>
      <c r="E115" s="176">
        <v>2</v>
      </c>
      <c r="F115" s="218"/>
      <c r="G115" s="218"/>
      <c r="H115" s="202">
        <f>'11 seats (Transit)'!U96</f>
        <v>48668000</v>
      </c>
      <c r="I115" s="202">
        <f t="shared" si="51"/>
        <v>97336000</v>
      </c>
      <c r="J115" s="219"/>
      <c r="K115" s="271"/>
      <c r="L115" s="271"/>
      <c r="M115" s="271"/>
    </row>
    <row r="116" spans="2:13" ht="33" customHeight="1">
      <c r="B116" s="277"/>
      <c r="C116" s="277"/>
      <c r="D116" s="162" t="s">
        <v>90</v>
      </c>
      <c r="E116" s="176">
        <v>2</v>
      </c>
      <c r="F116" s="218"/>
      <c r="G116" s="218"/>
      <c r="H116" s="202">
        <f>'11 seats (Transit)'!U126</f>
        <v>45531000</v>
      </c>
      <c r="I116" s="214">
        <f t="shared" si="51"/>
        <v>91062000</v>
      </c>
      <c r="J116" s="219"/>
      <c r="K116" s="271"/>
      <c r="L116" s="271"/>
      <c r="M116" s="271"/>
    </row>
    <row r="117" spans="2:13" ht="33" customHeight="1">
      <c r="B117" s="277"/>
      <c r="C117" s="277"/>
      <c r="D117" s="162" t="s">
        <v>91</v>
      </c>
      <c r="E117" s="176" t="s">
        <v>193</v>
      </c>
      <c r="F117" s="218"/>
      <c r="G117" s="218"/>
      <c r="H117" s="202">
        <f>I117/E113</f>
        <v>52182500</v>
      </c>
      <c r="I117" s="202">
        <f>H113+H115</f>
        <v>104365000</v>
      </c>
      <c r="J117" s="219"/>
      <c r="K117" s="271"/>
      <c r="L117" s="271"/>
      <c r="M117" s="271"/>
    </row>
    <row r="118" spans="2:13" ht="33" customHeight="1">
      <c r="B118" s="277"/>
      <c r="C118" s="277"/>
      <c r="D118" s="162" t="s">
        <v>93</v>
      </c>
      <c r="E118" s="176" t="s">
        <v>193</v>
      </c>
      <c r="F118" s="218"/>
      <c r="G118" s="218"/>
      <c r="H118" s="202">
        <f>I118/4</f>
        <v>24283250</v>
      </c>
      <c r="I118" s="202">
        <f>H114+H116</f>
        <v>97133000</v>
      </c>
      <c r="J118" s="219"/>
      <c r="K118" s="271"/>
      <c r="L118" s="271"/>
      <c r="M118" s="271"/>
    </row>
    <row r="119" spans="2:13" ht="33" customHeight="1">
      <c r="B119" s="277"/>
      <c r="C119" s="277"/>
      <c r="D119" s="176" t="s">
        <v>71</v>
      </c>
      <c r="E119" s="176"/>
      <c r="F119" s="202"/>
      <c r="G119" s="202">
        <f t="shared" ref="G119:G124" si="52">$G$111</f>
        <v>276761668</v>
      </c>
      <c r="H119" s="202"/>
      <c r="I119" s="202">
        <f t="shared" ref="I119:I124" si="53">$I$112+I113</f>
        <v>301212406.66666663</v>
      </c>
      <c r="J119" s="212">
        <f t="shared" ref="J119:J127" si="54">+I119-G119</f>
        <v>24450738.666666627</v>
      </c>
      <c r="K119" s="271"/>
      <c r="L119" s="271"/>
      <c r="M119" s="271"/>
    </row>
    <row r="120" spans="2:13" ht="33" customHeight="1">
      <c r="B120" s="277"/>
      <c r="C120" s="277"/>
      <c r="D120" s="176" t="s">
        <v>72</v>
      </c>
      <c r="E120" s="176"/>
      <c r="F120" s="202"/>
      <c r="G120" s="202">
        <f t="shared" si="52"/>
        <v>276761668</v>
      </c>
      <c r="H120" s="202"/>
      <c r="I120" s="243">
        <f>$I$112+I114</f>
        <v>293022406.66666663</v>
      </c>
      <c r="J120" s="212">
        <f t="shared" si="54"/>
        <v>16260738.666666627</v>
      </c>
      <c r="K120" s="271"/>
      <c r="L120" s="271"/>
      <c r="M120" s="271"/>
    </row>
    <row r="121" spans="2:13" ht="33" customHeight="1">
      <c r="B121" s="277"/>
      <c r="C121" s="277"/>
      <c r="D121" s="176" t="s">
        <v>73</v>
      </c>
      <c r="E121" s="176"/>
      <c r="F121" s="202"/>
      <c r="G121" s="202">
        <f t="shared" si="52"/>
        <v>276761668</v>
      </c>
      <c r="H121" s="202"/>
      <c r="I121" s="202">
        <f t="shared" si="53"/>
        <v>287154406.66666663</v>
      </c>
      <c r="J121" s="210">
        <f t="shared" si="54"/>
        <v>10392738.666666627</v>
      </c>
      <c r="K121" s="271"/>
      <c r="L121" s="271"/>
      <c r="M121" s="271"/>
    </row>
    <row r="122" spans="2:13" ht="33" customHeight="1">
      <c r="B122" s="277"/>
      <c r="C122" s="277"/>
      <c r="D122" s="176" t="s">
        <v>74</v>
      </c>
      <c r="E122" s="176"/>
      <c r="F122" s="202"/>
      <c r="G122" s="202">
        <f t="shared" si="52"/>
        <v>276761668</v>
      </c>
      <c r="H122" s="202"/>
      <c r="I122" s="202">
        <f t="shared" si="53"/>
        <v>280880406.66666663</v>
      </c>
      <c r="J122" s="212">
        <f t="shared" si="54"/>
        <v>4118738.6666666269</v>
      </c>
      <c r="K122" s="271"/>
      <c r="L122" s="271"/>
      <c r="M122" s="271"/>
    </row>
    <row r="123" spans="2:13" ht="33" customHeight="1">
      <c r="B123" s="277"/>
      <c r="C123" s="277"/>
      <c r="D123" s="176" t="s">
        <v>75</v>
      </c>
      <c r="E123" s="176"/>
      <c r="F123" s="202"/>
      <c r="G123" s="202">
        <f t="shared" si="52"/>
        <v>276761668</v>
      </c>
      <c r="H123" s="202"/>
      <c r="I123" s="202">
        <f t="shared" si="53"/>
        <v>294183406.66666663</v>
      </c>
      <c r="J123" s="212">
        <f t="shared" si="54"/>
        <v>17421738.666666627</v>
      </c>
      <c r="K123" s="271"/>
      <c r="L123" s="271"/>
      <c r="M123" s="271"/>
    </row>
    <row r="124" spans="2:13" ht="33" customHeight="1">
      <c r="B124" s="277"/>
      <c r="C124" s="277"/>
      <c r="D124" s="176" t="s">
        <v>76</v>
      </c>
      <c r="E124" s="176"/>
      <c r="F124" s="202"/>
      <c r="G124" s="202">
        <f t="shared" si="52"/>
        <v>276761668</v>
      </c>
      <c r="H124" s="202"/>
      <c r="I124" s="202">
        <f t="shared" si="53"/>
        <v>286951406.66666663</v>
      </c>
      <c r="J124" s="210">
        <f t="shared" si="54"/>
        <v>10189738.666666627</v>
      </c>
      <c r="K124" s="271"/>
      <c r="L124" s="271"/>
      <c r="M124" s="271"/>
    </row>
    <row r="125" spans="2:13" ht="33" customHeight="1">
      <c r="B125" s="277"/>
      <c r="C125" s="276" t="s">
        <v>94</v>
      </c>
      <c r="D125" s="176" t="s">
        <v>10</v>
      </c>
      <c r="E125" s="131">
        <v>2</v>
      </c>
      <c r="F125" s="202">
        <f>G125/E125</f>
        <v>42076167</v>
      </c>
      <c r="G125" s="202">
        <f>+'11 seats (Hiace)'!E89</f>
        <v>84152334</v>
      </c>
      <c r="H125" s="202">
        <f>I125/E125</f>
        <v>40670200</v>
      </c>
      <c r="I125" s="202">
        <f>+'11 seats (Hiace)'!E118</f>
        <v>81340400</v>
      </c>
      <c r="J125" s="212">
        <f t="shared" si="54"/>
        <v>-2811934</v>
      </c>
      <c r="K125" s="271"/>
      <c r="L125" s="271"/>
      <c r="M125" s="271"/>
    </row>
    <row r="126" spans="2:13" ht="33" customHeight="1">
      <c r="B126" s="277"/>
      <c r="C126" s="277"/>
      <c r="D126" s="176" t="s">
        <v>15</v>
      </c>
      <c r="E126" s="131">
        <v>1</v>
      </c>
      <c r="F126" s="202">
        <f>'11 seats (Hiace)'!H89</f>
        <v>65468368</v>
      </c>
      <c r="G126" s="202">
        <f>+F126*E126</f>
        <v>65468368</v>
      </c>
      <c r="H126" s="202">
        <f>'11 seats (Hiace)'!H133</f>
        <v>50805600</v>
      </c>
      <c r="I126" s="202">
        <f>+H126*E126</f>
        <v>50805600</v>
      </c>
      <c r="J126" s="212">
        <f t="shared" si="54"/>
        <v>-14662768</v>
      </c>
      <c r="K126" s="271"/>
      <c r="L126" s="271"/>
      <c r="M126" s="271"/>
    </row>
    <row r="127" spans="2:13" ht="33" customHeight="1">
      <c r="B127" s="277"/>
      <c r="C127" s="278"/>
      <c r="D127" s="176" t="s">
        <v>17</v>
      </c>
      <c r="E127" s="131">
        <v>1</v>
      </c>
      <c r="F127" s="202">
        <f>'11 seats (Hiace)'!K89</f>
        <v>65021968</v>
      </c>
      <c r="G127" s="202">
        <f>+F127*E127</f>
        <v>65021968</v>
      </c>
      <c r="H127" s="202">
        <f>'11 seats (Hiace)'!K133</f>
        <v>47993000</v>
      </c>
      <c r="I127" s="202">
        <f>+H127*E127</f>
        <v>47993000</v>
      </c>
      <c r="J127" s="212">
        <f t="shared" si="54"/>
        <v>-17028968</v>
      </c>
      <c r="K127" s="271"/>
      <c r="L127" s="271"/>
      <c r="M127" s="271"/>
    </row>
    <row r="129" spans="2:13">
      <c r="B129" s="7"/>
      <c r="C129" s="7" t="s">
        <v>10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spans="2:13">
      <c r="B130" s="7"/>
      <c r="C130" s="7" t="s">
        <v>15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2:13">
      <c r="B131" s="7"/>
      <c r="C131" s="7" t="s">
        <v>17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3" spans="2:13" ht="23.1" customHeight="1">
      <c r="B133" s="312" t="s">
        <v>136</v>
      </c>
      <c r="C133" s="313"/>
      <c r="D133" s="201" t="s">
        <v>97</v>
      </c>
      <c r="E133" s="201" t="s">
        <v>98</v>
      </c>
      <c r="F133" s="201" t="s">
        <v>99</v>
      </c>
      <c r="G133" s="201" t="s">
        <v>100</v>
      </c>
      <c r="H133" s="201" t="s">
        <v>101</v>
      </c>
      <c r="I133" s="201" t="s">
        <v>102</v>
      </c>
      <c r="J133" s="201" t="s">
        <v>103</v>
      </c>
      <c r="K133" s="201" t="s">
        <v>117</v>
      </c>
    </row>
    <row r="134" spans="2:13" ht="57.95" customHeight="1">
      <c r="B134" s="313"/>
      <c r="C134" s="313"/>
      <c r="D134" s="229" t="s">
        <v>113</v>
      </c>
      <c r="E134" s="222" t="s">
        <v>130</v>
      </c>
      <c r="F134" s="222" t="s">
        <v>131</v>
      </c>
      <c r="G134" s="222" t="s">
        <v>132</v>
      </c>
      <c r="H134" s="223" t="s">
        <v>133</v>
      </c>
      <c r="I134" s="222" t="s">
        <v>114</v>
      </c>
      <c r="J134" s="221" t="s">
        <v>115</v>
      </c>
      <c r="K134" s="223" t="s">
        <v>195</v>
      </c>
    </row>
    <row r="135" spans="2:13" s="161" customFormat="1" ht="23.1" customHeight="1">
      <c r="B135" s="283" t="s">
        <v>10</v>
      </c>
      <c r="C135" s="224" t="s">
        <v>3</v>
      </c>
      <c r="D135" s="225">
        <f>$G$50+$G$51+$G$59+$G$83+$G$125</f>
        <v>1345458283.4642859</v>
      </c>
      <c r="E135" s="225">
        <f t="shared" ref="E135:K135" si="55">$D$135</f>
        <v>1345458283.4642859</v>
      </c>
      <c r="F135" s="225">
        <f t="shared" si="55"/>
        <v>1345458283.4642859</v>
      </c>
      <c r="G135" s="225">
        <f t="shared" si="55"/>
        <v>1345458283.4642859</v>
      </c>
      <c r="H135" s="225">
        <f t="shared" si="55"/>
        <v>1345458283.4642859</v>
      </c>
      <c r="I135" s="225">
        <f t="shared" si="55"/>
        <v>1345458283.4642859</v>
      </c>
      <c r="J135" s="225">
        <f t="shared" si="55"/>
        <v>1345458283.4642859</v>
      </c>
      <c r="K135" s="231">
        <f t="shared" si="55"/>
        <v>1345458283.4642859</v>
      </c>
    </row>
    <row r="136" spans="2:13" s="161" customFormat="1" ht="23.1" customHeight="1">
      <c r="B136" s="283"/>
      <c r="C136" s="226" t="s">
        <v>42</v>
      </c>
      <c r="D136" s="225">
        <f>$I$50+$I$51+$I$59+$I$83+$I$125</f>
        <v>1278445642.4642859</v>
      </c>
      <c r="E136" s="225">
        <f t="shared" ref="E136:J136" si="56">$D$136</f>
        <v>1278445642.4642859</v>
      </c>
      <c r="F136" s="225">
        <f t="shared" si="56"/>
        <v>1278445642.4642859</v>
      </c>
      <c r="G136" s="225">
        <f t="shared" si="56"/>
        <v>1278445642.4642859</v>
      </c>
      <c r="H136" s="225">
        <f t="shared" si="56"/>
        <v>1278445642.4642859</v>
      </c>
      <c r="I136" s="225">
        <f t="shared" si="56"/>
        <v>1278445642.4642859</v>
      </c>
      <c r="J136" s="225">
        <f t="shared" si="56"/>
        <v>1278445642.4642859</v>
      </c>
      <c r="K136" s="225">
        <f>$I$50+$I$51+I59+$I$83+$I$125</f>
        <v>1278445642.4642859</v>
      </c>
    </row>
    <row r="137" spans="2:13" s="161" customFormat="1" ht="23.1" customHeight="1">
      <c r="B137" s="283"/>
      <c r="C137" s="227" t="s">
        <v>43</v>
      </c>
      <c r="D137" s="228">
        <f t="shared" ref="D137:K137" si="57">D136-D135</f>
        <v>-67012641</v>
      </c>
      <c r="E137" s="228">
        <f t="shared" si="57"/>
        <v>-67012641</v>
      </c>
      <c r="F137" s="228">
        <f t="shared" si="57"/>
        <v>-67012641</v>
      </c>
      <c r="G137" s="228">
        <f t="shared" si="57"/>
        <v>-67012641</v>
      </c>
      <c r="H137" s="228">
        <f t="shared" si="57"/>
        <v>-67012641</v>
      </c>
      <c r="I137" s="228">
        <f t="shared" si="57"/>
        <v>-67012641</v>
      </c>
      <c r="J137" s="228">
        <f t="shared" si="57"/>
        <v>-67012641</v>
      </c>
      <c r="K137" s="232">
        <f t="shared" si="57"/>
        <v>-67012641</v>
      </c>
    </row>
    <row r="138" spans="2:13" s="205" customFormat="1" ht="35.1" customHeight="1">
      <c r="B138" s="284"/>
      <c r="C138" s="132" t="s">
        <v>8</v>
      </c>
      <c r="D138" s="131" t="s">
        <v>137</v>
      </c>
      <c r="E138" s="306" t="s">
        <v>138</v>
      </c>
      <c r="F138" s="307"/>
      <c r="G138" s="306" t="s">
        <v>139</v>
      </c>
      <c r="H138" s="307"/>
      <c r="I138" s="308" t="s">
        <v>140</v>
      </c>
      <c r="J138" s="309"/>
      <c r="K138" s="233" t="s">
        <v>141</v>
      </c>
    </row>
    <row r="139" spans="2:13" s="161" customFormat="1" ht="23.1" customHeight="1">
      <c r="B139" s="282" t="s">
        <v>15</v>
      </c>
      <c r="C139" s="226" t="s">
        <v>3</v>
      </c>
      <c r="D139" s="225">
        <f>$G$56+$G$60+$G$63+$G$97+$G$126</f>
        <v>1335895977</v>
      </c>
      <c r="E139" s="225">
        <f t="shared" ref="E139:K139" si="58">$D$139</f>
        <v>1335895977</v>
      </c>
      <c r="F139" s="225">
        <f t="shared" si="58"/>
        <v>1335895977</v>
      </c>
      <c r="G139" s="225">
        <f t="shared" si="58"/>
        <v>1335895977</v>
      </c>
      <c r="H139" s="225">
        <f t="shared" si="58"/>
        <v>1335895977</v>
      </c>
      <c r="I139" s="225">
        <f t="shared" si="58"/>
        <v>1335895977</v>
      </c>
      <c r="J139" s="225">
        <f t="shared" si="58"/>
        <v>1335895977</v>
      </c>
      <c r="K139" s="231">
        <f t="shared" si="58"/>
        <v>1335895977</v>
      </c>
    </row>
    <row r="140" spans="2:13" s="161" customFormat="1" ht="23.1" customHeight="1">
      <c r="B140" s="283"/>
      <c r="C140" s="226" t="s">
        <v>42</v>
      </c>
      <c r="D140" s="225">
        <f>$I$52+$I$60+$I$63+I97+$I$126</f>
        <v>1272644723.7777777</v>
      </c>
      <c r="E140" s="225">
        <f>$I$52+$I$60+$I$63+I105+$I$126</f>
        <v>1385061523.7777777</v>
      </c>
      <c r="F140" s="225">
        <f>$I$52+$I$60+$I$63+I106+$I$126</f>
        <v>1352301523.7777777</v>
      </c>
      <c r="G140" s="225">
        <f>$I$52+$I$60+$I$63+I107+$I$126</f>
        <v>1328829523.7777777</v>
      </c>
      <c r="H140" s="225">
        <f>$I$52+$I$60+$I$63+I108+$I$126</f>
        <v>1303733523.7777777</v>
      </c>
      <c r="I140" s="225">
        <f>$I$52+$I$60+$I$63+I109+$I$126</f>
        <v>1356945523.7777777</v>
      </c>
      <c r="J140" s="225">
        <f>$I$52+$I$60+$I$63+I110+$I$126</f>
        <v>1328017523.7777777</v>
      </c>
      <c r="K140" s="225">
        <f>I52+I66+I69+I106+I126</f>
        <v>1378496540</v>
      </c>
    </row>
    <row r="141" spans="2:13" s="161" customFormat="1" ht="23.1" customHeight="1">
      <c r="B141" s="283"/>
      <c r="C141" s="227" t="s">
        <v>43</v>
      </c>
      <c r="D141" s="228">
        <f t="shared" ref="D141:K141" si="59">D140-D139</f>
        <v>-63251253.222222328</v>
      </c>
      <c r="E141" s="228">
        <f t="shared" si="59"/>
        <v>49165546.777777672</v>
      </c>
      <c r="F141" s="228">
        <f t="shared" si="59"/>
        <v>16405546.777777672</v>
      </c>
      <c r="G141" s="228">
        <f t="shared" si="59"/>
        <v>-7066453.2222223282</v>
      </c>
      <c r="H141" s="228">
        <f t="shared" si="59"/>
        <v>-32162453.222222328</v>
      </c>
      <c r="I141" s="228">
        <f t="shared" si="59"/>
        <v>21049546.777777672</v>
      </c>
      <c r="J141" s="228">
        <f t="shared" si="59"/>
        <v>-7878453.2222223282</v>
      </c>
      <c r="K141" s="232">
        <f t="shared" si="59"/>
        <v>42600563</v>
      </c>
    </row>
    <row r="142" spans="2:13" s="161" customFormat="1" ht="39" customHeight="1">
      <c r="B142" s="284"/>
      <c r="C142" s="226" t="s">
        <v>8</v>
      </c>
      <c r="D142" s="131" t="s">
        <v>113</v>
      </c>
      <c r="E142" s="306" t="s">
        <v>142</v>
      </c>
      <c r="F142" s="307"/>
      <c r="G142" s="306" t="s">
        <v>143</v>
      </c>
      <c r="H142" s="307"/>
      <c r="I142" s="310" t="s">
        <v>144</v>
      </c>
      <c r="J142" s="311"/>
      <c r="K142" s="190" t="s">
        <v>145</v>
      </c>
    </row>
    <row r="143" spans="2:13" s="161" customFormat="1" ht="23.1" customHeight="1">
      <c r="B143" s="282" t="s">
        <v>17</v>
      </c>
      <c r="C143" s="226" t="s">
        <v>3</v>
      </c>
      <c r="D143" s="225">
        <f>$G$53+$G$61+$G$62+$G$111+$G$127</f>
        <v>651761479</v>
      </c>
      <c r="E143" s="225">
        <f t="shared" ref="E143:K143" si="60">$D$143</f>
        <v>651761479</v>
      </c>
      <c r="F143" s="225">
        <f t="shared" si="60"/>
        <v>651761479</v>
      </c>
      <c r="G143" s="225">
        <f t="shared" si="60"/>
        <v>651761479</v>
      </c>
      <c r="H143" s="225">
        <f t="shared" si="60"/>
        <v>651761479</v>
      </c>
      <c r="I143" s="225">
        <f t="shared" si="60"/>
        <v>651761479</v>
      </c>
      <c r="J143" s="225">
        <f t="shared" si="60"/>
        <v>651761479</v>
      </c>
      <c r="K143" s="231">
        <f t="shared" si="60"/>
        <v>651761479</v>
      </c>
    </row>
    <row r="144" spans="2:13" s="161" customFormat="1" ht="23.1" customHeight="1">
      <c r="B144" s="283"/>
      <c r="C144" s="226" t="s">
        <v>42</v>
      </c>
      <c r="D144" s="225">
        <f>$I$53+$I$61+$I$62+I111+$I$127</f>
        <v>641669910.66666675</v>
      </c>
      <c r="E144" s="225">
        <f>$I$53+$I$61+$I$62+I119+$I$127</f>
        <v>669774110.66666663</v>
      </c>
      <c r="F144" s="225">
        <f>$I$53+$I$61+$I$62+I120+$I$127</f>
        <v>661584110.66666663</v>
      </c>
      <c r="G144" s="225">
        <f>$I$53+$I$61+$I$62+I121+$I$127</f>
        <v>655716110.66666663</v>
      </c>
      <c r="H144" s="225">
        <f>$I$53+$I$61+$I$62+I122+$I$127</f>
        <v>649442110.66666663</v>
      </c>
      <c r="I144" s="225">
        <f>$I$53+$I$61+$I$62+I123+$I$127</f>
        <v>662745110.66666663</v>
      </c>
      <c r="J144" s="225">
        <f>$I$53+$I$61+$I$62+I124+$I$127</f>
        <v>655513110.66666663</v>
      </c>
      <c r="K144" s="225">
        <f>$I$53+I67+I68+I120+$I$127</f>
        <v>686326580</v>
      </c>
    </row>
    <row r="145" spans="2:12" s="161" customFormat="1" ht="23.1" customHeight="1">
      <c r="B145" s="283"/>
      <c r="C145" s="227" t="s">
        <v>43</v>
      </c>
      <c r="D145" s="228">
        <f t="shared" ref="D145:K145" si="61">D144-D143</f>
        <v>-10091568.333333254</v>
      </c>
      <c r="E145" s="228">
        <f t="shared" si="61"/>
        <v>18012631.666666627</v>
      </c>
      <c r="F145" s="228">
        <f t="shared" si="61"/>
        <v>9822631.6666666269</v>
      </c>
      <c r="G145" s="228">
        <f t="shared" si="61"/>
        <v>3954631.6666666269</v>
      </c>
      <c r="H145" s="228">
        <f t="shared" si="61"/>
        <v>-2319368.3333333731</v>
      </c>
      <c r="I145" s="228">
        <f t="shared" si="61"/>
        <v>10983631.666666627</v>
      </c>
      <c r="J145" s="228">
        <f t="shared" si="61"/>
        <v>3751631.6666666269</v>
      </c>
      <c r="K145" s="232">
        <f t="shared" si="61"/>
        <v>34565101</v>
      </c>
    </row>
    <row r="146" spans="2:12" s="161" customFormat="1" ht="38.1" customHeight="1">
      <c r="B146" s="284"/>
      <c r="C146" s="226" t="s">
        <v>8</v>
      </c>
      <c r="D146" s="131" t="s">
        <v>113</v>
      </c>
      <c r="E146" s="310" t="s">
        <v>146</v>
      </c>
      <c r="F146" s="311"/>
      <c r="G146" s="310" t="s">
        <v>147</v>
      </c>
      <c r="H146" s="311"/>
      <c r="I146" s="310" t="s">
        <v>148</v>
      </c>
      <c r="J146" s="311"/>
      <c r="K146" s="190" t="s">
        <v>149</v>
      </c>
    </row>
    <row r="147" spans="2:12" s="161" customFormat="1" ht="23.1" customHeight="1">
      <c r="B147" s="282" t="s">
        <v>111</v>
      </c>
      <c r="C147" s="226" t="s">
        <v>3</v>
      </c>
      <c r="D147" s="225">
        <f>$D$135+$D$139+$D$143</f>
        <v>3333115739.4642859</v>
      </c>
      <c r="E147" s="225">
        <f t="shared" ref="E147:K147" si="62">E135+E139+E143</f>
        <v>3333115739.4642859</v>
      </c>
      <c r="F147" s="225">
        <f t="shared" si="62"/>
        <v>3333115739.4642859</v>
      </c>
      <c r="G147" s="225">
        <f t="shared" si="62"/>
        <v>3333115739.4642859</v>
      </c>
      <c r="H147" s="225">
        <f t="shared" si="62"/>
        <v>3333115739.4642859</v>
      </c>
      <c r="I147" s="225">
        <f t="shared" si="62"/>
        <v>3333115739.4642859</v>
      </c>
      <c r="J147" s="225">
        <f t="shared" si="62"/>
        <v>3333115739.4642859</v>
      </c>
      <c r="K147" s="231">
        <f t="shared" si="62"/>
        <v>3333115739.4642859</v>
      </c>
    </row>
    <row r="148" spans="2:12" s="161" customFormat="1" ht="23.1" customHeight="1">
      <c r="B148" s="283"/>
      <c r="C148" s="226" t="s">
        <v>42</v>
      </c>
      <c r="D148" s="225">
        <f>$D$136+$D$140+$D$144</f>
        <v>3192760276.9087305</v>
      </c>
      <c r="E148" s="225">
        <f t="shared" ref="E148:K148" si="63">E136+E140+E144</f>
        <v>3333281276.90873</v>
      </c>
      <c r="F148" s="225">
        <f t="shared" si="63"/>
        <v>3292331276.90873</v>
      </c>
      <c r="G148" s="225">
        <f t="shared" si="63"/>
        <v>3262991276.90873</v>
      </c>
      <c r="H148" s="225">
        <f t="shared" si="63"/>
        <v>3231621276.90873</v>
      </c>
      <c r="I148" s="225">
        <f t="shared" si="63"/>
        <v>3298136276.90873</v>
      </c>
      <c r="J148" s="225">
        <f t="shared" si="63"/>
        <v>3261976276.90873</v>
      </c>
      <c r="K148" s="231">
        <f t="shared" si="63"/>
        <v>3343268762.4642859</v>
      </c>
    </row>
    <row r="149" spans="2:12" s="161" customFormat="1" ht="23.1" customHeight="1">
      <c r="B149" s="283"/>
      <c r="C149" s="227" t="s">
        <v>43</v>
      </c>
      <c r="D149" s="228">
        <f t="shared" ref="D149:K149" si="64">D148-D147</f>
        <v>-140355462.55555534</v>
      </c>
      <c r="E149" s="228">
        <f t="shared" si="64"/>
        <v>165537.44444417953</v>
      </c>
      <c r="F149" s="228">
        <f t="shared" si="64"/>
        <v>-40784462.55555582</v>
      </c>
      <c r="G149" s="228">
        <f t="shared" si="64"/>
        <v>-70124462.55555582</v>
      </c>
      <c r="H149" s="228">
        <f t="shared" si="64"/>
        <v>-101494462.55555582</v>
      </c>
      <c r="I149" s="228">
        <f t="shared" si="64"/>
        <v>-34979462.55555582</v>
      </c>
      <c r="J149" s="228">
        <f t="shared" si="64"/>
        <v>-71139462.55555582</v>
      </c>
      <c r="K149" s="232">
        <f t="shared" si="64"/>
        <v>10153023</v>
      </c>
    </row>
    <row r="150" spans="2:12" s="161" customFormat="1" ht="23.1" customHeight="1">
      <c r="B150" s="284"/>
      <c r="C150" s="226" t="s">
        <v>8</v>
      </c>
      <c r="D150" s="204">
        <f>+D148/23000</f>
        <v>138815.66421342306</v>
      </c>
      <c r="E150" s="226"/>
      <c r="F150" s="226"/>
      <c r="G150" s="226"/>
      <c r="H150" s="226"/>
      <c r="I150" s="226"/>
      <c r="J150" s="226"/>
      <c r="K150" s="234"/>
    </row>
    <row r="151" spans="2:12">
      <c r="K151" s="195"/>
    </row>
    <row r="152" spans="2:12">
      <c r="B152" t="s">
        <v>10</v>
      </c>
      <c r="C152" s="21">
        <f>I50+I51+I65+I83+I125</f>
        <v>1317904964.4642859</v>
      </c>
      <c r="D152" s="21">
        <f t="shared" ref="D152:K152" si="65">D149/23000</f>
        <v>-6102.4114154589279</v>
      </c>
      <c r="E152" s="21">
        <f t="shared" si="65"/>
        <v>7.1972801932251969</v>
      </c>
      <c r="F152" s="254">
        <f t="shared" si="65"/>
        <v>-1773.2375024154705</v>
      </c>
      <c r="G152" s="21">
        <f t="shared" si="65"/>
        <v>-3048.8896763285138</v>
      </c>
      <c r="H152" s="21">
        <f t="shared" si="65"/>
        <v>-4412.8027198067748</v>
      </c>
      <c r="I152" s="21">
        <f t="shared" si="65"/>
        <v>-1520.8461980676443</v>
      </c>
      <c r="J152" s="21">
        <f t="shared" si="65"/>
        <v>-3093.0201111111228</v>
      </c>
      <c r="K152" s="235">
        <f t="shared" si="65"/>
        <v>441.43578260869566</v>
      </c>
      <c r="L152" s="235"/>
    </row>
    <row r="153" spans="2:12">
      <c r="B153" t="s">
        <v>15</v>
      </c>
      <c r="C153" s="21">
        <f>I52+I66+I69+I97+I126</f>
        <v>1298839740</v>
      </c>
      <c r="D153" s="21"/>
      <c r="K153" s="195"/>
    </row>
    <row r="154" spans="2:12">
      <c r="B154" t="s">
        <v>17</v>
      </c>
      <c r="C154" s="21">
        <f>I53+I68+I67+I111+I127</f>
        <v>666412380</v>
      </c>
      <c r="D154" s="21">
        <f>(C152+C153+C154)</f>
        <v>3283157084.4642859</v>
      </c>
      <c r="E154" s="21">
        <f>D154-D147</f>
        <v>-49958655</v>
      </c>
      <c r="F154" s="166">
        <f>D154/23000</f>
        <v>142745.96019409937</v>
      </c>
      <c r="K154" s="195"/>
    </row>
    <row r="155" spans="2:12">
      <c r="E155" s="166">
        <f>E154/23000</f>
        <v>-2172.1154347826086</v>
      </c>
      <c r="K155" s="195"/>
    </row>
    <row r="156" spans="2:12" ht="23.1" customHeight="1">
      <c r="B156" s="314" t="s">
        <v>150</v>
      </c>
      <c r="C156" s="314"/>
      <c r="D156" s="201" t="s">
        <v>97</v>
      </c>
      <c r="E156" s="201" t="s">
        <v>98</v>
      </c>
      <c r="F156" s="201" t="s">
        <v>99</v>
      </c>
      <c r="G156" s="201" t="s">
        <v>100</v>
      </c>
      <c r="H156" s="201" t="s">
        <v>101</v>
      </c>
      <c r="I156" s="201" t="s">
        <v>102</v>
      </c>
      <c r="J156" s="201" t="s">
        <v>103</v>
      </c>
      <c r="K156" s="201" t="s">
        <v>117</v>
      </c>
    </row>
    <row r="157" spans="2:12" ht="65.25" customHeight="1">
      <c r="B157" s="314"/>
      <c r="C157" s="314"/>
      <c r="D157" s="229" t="s">
        <v>113</v>
      </c>
      <c r="E157" s="222" t="s">
        <v>130</v>
      </c>
      <c r="F157" s="223" t="s">
        <v>131</v>
      </c>
      <c r="G157" s="222" t="s">
        <v>132</v>
      </c>
      <c r="H157" s="223" t="s">
        <v>133</v>
      </c>
      <c r="I157" s="222" t="s">
        <v>114</v>
      </c>
      <c r="J157" s="223" t="s">
        <v>115</v>
      </c>
      <c r="K157" s="222" t="s">
        <v>116</v>
      </c>
    </row>
    <row r="158" spans="2:12" s="161" customFormat="1" ht="23.1" customHeight="1">
      <c r="B158" s="282" t="s">
        <v>10</v>
      </c>
      <c r="C158" s="226" t="s">
        <v>3</v>
      </c>
      <c r="D158" s="225">
        <f>$G$50+$G$51+$G$59+$G$83+$G$125</f>
        <v>1345458283.4642859</v>
      </c>
      <c r="E158" s="225">
        <f t="shared" ref="E158:K158" si="66">$D$135</f>
        <v>1345458283.4642859</v>
      </c>
      <c r="F158" s="225">
        <f t="shared" si="66"/>
        <v>1345458283.4642859</v>
      </c>
      <c r="G158" s="225">
        <f t="shared" si="66"/>
        <v>1345458283.4642859</v>
      </c>
      <c r="H158" s="225">
        <f t="shared" si="66"/>
        <v>1345458283.4642859</v>
      </c>
      <c r="I158" s="225">
        <f t="shared" si="66"/>
        <v>1345458283.4642859</v>
      </c>
      <c r="J158" s="225">
        <f t="shared" si="66"/>
        <v>1345458283.4642859</v>
      </c>
      <c r="K158" s="231">
        <f t="shared" si="66"/>
        <v>1345458283.4642859</v>
      </c>
    </row>
    <row r="159" spans="2:12" s="161" customFormat="1" ht="23.1" customHeight="1">
      <c r="B159" s="283"/>
      <c r="C159" s="226" t="s">
        <v>42</v>
      </c>
      <c r="D159" s="225">
        <f>$I$50+$I$51+I77+$I$83+$I$125</f>
        <v>1264715878.4642859</v>
      </c>
      <c r="E159" s="225">
        <f t="shared" ref="E159:J159" si="67">$D$159</f>
        <v>1264715878.4642859</v>
      </c>
      <c r="F159" s="225">
        <f t="shared" si="67"/>
        <v>1264715878.4642859</v>
      </c>
      <c r="G159" s="225">
        <f t="shared" si="67"/>
        <v>1264715878.4642859</v>
      </c>
      <c r="H159" s="225">
        <f t="shared" si="67"/>
        <v>1264715878.4642859</v>
      </c>
      <c r="I159" s="225">
        <f t="shared" si="67"/>
        <v>1264715878.4642859</v>
      </c>
      <c r="J159" s="225">
        <f t="shared" si="67"/>
        <v>1264715878.4642859</v>
      </c>
      <c r="K159" s="231">
        <f>D159</f>
        <v>1264715878.4642859</v>
      </c>
    </row>
    <row r="160" spans="2:12" s="161" customFormat="1" ht="23.1" customHeight="1">
      <c r="B160" s="283"/>
      <c r="C160" s="226" t="s">
        <v>43</v>
      </c>
      <c r="D160" s="225">
        <f t="shared" ref="D160:K160" si="68">D159-D158</f>
        <v>-80742405</v>
      </c>
      <c r="E160" s="225">
        <f t="shared" si="68"/>
        <v>-80742405</v>
      </c>
      <c r="F160" s="225">
        <f t="shared" si="68"/>
        <v>-80742405</v>
      </c>
      <c r="G160" s="225">
        <f t="shared" si="68"/>
        <v>-80742405</v>
      </c>
      <c r="H160" s="225">
        <f t="shared" si="68"/>
        <v>-80742405</v>
      </c>
      <c r="I160" s="225">
        <f t="shared" si="68"/>
        <v>-80742405</v>
      </c>
      <c r="J160" s="225">
        <f t="shared" si="68"/>
        <v>-80742405</v>
      </c>
      <c r="K160" s="231">
        <f t="shared" si="68"/>
        <v>-80742405</v>
      </c>
    </row>
    <row r="161" spans="2:11" s="161" customFormat="1" ht="23.1" customHeight="1">
      <c r="B161" s="284"/>
      <c r="C161" s="226" t="s">
        <v>8</v>
      </c>
      <c r="D161" s="226"/>
      <c r="E161" s="226"/>
      <c r="F161" s="226"/>
      <c r="G161" s="226"/>
      <c r="H161" s="226"/>
      <c r="I161" s="226"/>
      <c r="J161" s="226"/>
      <c r="K161" s="234"/>
    </row>
    <row r="162" spans="2:11" s="161" customFormat="1" ht="23.1" customHeight="1">
      <c r="B162" s="282" t="s">
        <v>15</v>
      </c>
      <c r="C162" s="226" t="s">
        <v>3</v>
      </c>
      <c r="D162" s="225">
        <f>$G$56+$G$60+$G$63+$G$97+$G$126</f>
        <v>1335895977</v>
      </c>
      <c r="E162" s="225">
        <f t="shared" ref="E162:K162" si="69">$D$139</f>
        <v>1335895977</v>
      </c>
      <c r="F162" s="225">
        <f t="shared" si="69"/>
        <v>1335895977</v>
      </c>
      <c r="G162" s="225">
        <f t="shared" si="69"/>
        <v>1335895977</v>
      </c>
      <c r="H162" s="225">
        <f t="shared" si="69"/>
        <v>1335895977</v>
      </c>
      <c r="I162" s="225">
        <f t="shared" si="69"/>
        <v>1335895977</v>
      </c>
      <c r="J162" s="225">
        <f t="shared" si="69"/>
        <v>1335895977</v>
      </c>
      <c r="K162" s="231">
        <f t="shared" si="69"/>
        <v>1335895977</v>
      </c>
    </row>
    <row r="163" spans="2:11" s="161" customFormat="1" ht="23.1" customHeight="1">
      <c r="B163" s="283"/>
      <c r="C163" s="226" t="s">
        <v>42</v>
      </c>
      <c r="D163" s="225">
        <f>$I$52+$I$78+$I$81+I97+$I$126</f>
        <v>1262568531.9682541</v>
      </c>
      <c r="E163" s="225">
        <f>$I$52+$I$78+$I$81+I105+$I$126</f>
        <v>1374985331.9682541</v>
      </c>
      <c r="F163" s="225">
        <f>$I$52+$I$78+$I$81+I106+$I$126</f>
        <v>1342225331.9682541</v>
      </c>
      <c r="G163" s="225">
        <f>$I$52+$I$78+$I$81+I107+$I$126</f>
        <v>1318753331.9682541</v>
      </c>
      <c r="H163" s="225">
        <f>$I$52+$I$78+$I$81+I108+$I$126</f>
        <v>1293657331.9682541</v>
      </c>
      <c r="I163" s="225">
        <f>$I$52+$I$78+$I$81+I109+$I$126</f>
        <v>1346869331.9682541</v>
      </c>
      <c r="J163" s="225">
        <f>$I$52+$I$78+$I$81+I110+$I$126</f>
        <v>1317941331.9682541</v>
      </c>
      <c r="K163" s="231">
        <v>1304937211.96825</v>
      </c>
    </row>
    <row r="164" spans="2:11" s="161" customFormat="1" ht="23.1" customHeight="1">
      <c r="B164" s="283"/>
      <c r="C164" s="226" t="s">
        <v>43</v>
      </c>
      <c r="D164" s="225">
        <f t="shared" ref="D164:K164" si="70">D163-D162</f>
        <v>-73327445.031745911</v>
      </c>
      <c r="E164" s="225">
        <f t="shared" si="70"/>
        <v>39089354.968254089</v>
      </c>
      <c r="F164" s="225">
        <f t="shared" si="70"/>
        <v>6329354.9682540894</v>
      </c>
      <c r="G164" s="225">
        <f t="shared" si="70"/>
        <v>-17142645.031745911</v>
      </c>
      <c r="H164" s="225">
        <f t="shared" si="70"/>
        <v>-42238645.031745911</v>
      </c>
      <c r="I164" s="225">
        <f t="shared" si="70"/>
        <v>10973354.968254089</v>
      </c>
      <c r="J164" s="225">
        <f t="shared" si="70"/>
        <v>-17954645.031745911</v>
      </c>
      <c r="K164" s="231">
        <f t="shared" si="70"/>
        <v>-30958765.031749964</v>
      </c>
    </row>
    <row r="165" spans="2:11" s="161" customFormat="1" ht="23.1" customHeight="1">
      <c r="B165" s="284"/>
      <c r="C165" s="226" t="s">
        <v>8</v>
      </c>
      <c r="D165" s="226"/>
      <c r="E165" s="226"/>
      <c r="F165" s="226"/>
      <c r="G165" s="226"/>
      <c r="H165" s="226"/>
      <c r="I165" s="226"/>
      <c r="J165" s="226"/>
      <c r="K165" s="234"/>
    </row>
    <row r="166" spans="2:11" s="161" customFormat="1" ht="23.1" customHeight="1">
      <c r="B166" s="282" t="s">
        <v>17</v>
      </c>
      <c r="C166" s="226" t="s">
        <v>3</v>
      </c>
      <c r="D166" s="225">
        <f>$G$53+$G$61+$G$62+$G$111+$G$127</f>
        <v>651761479</v>
      </c>
      <c r="E166" s="225">
        <f t="shared" ref="E166:K166" si="71">$D$143</f>
        <v>651761479</v>
      </c>
      <c r="F166" s="225">
        <f t="shared" si="71"/>
        <v>651761479</v>
      </c>
      <c r="G166" s="225">
        <f t="shared" si="71"/>
        <v>651761479</v>
      </c>
      <c r="H166" s="225">
        <f t="shared" si="71"/>
        <v>651761479</v>
      </c>
      <c r="I166" s="225">
        <f t="shared" si="71"/>
        <v>651761479</v>
      </c>
      <c r="J166" s="225">
        <f t="shared" si="71"/>
        <v>651761479</v>
      </c>
      <c r="K166" s="231">
        <f t="shared" si="71"/>
        <v>651761479</v>
      </c>
    </row>
    <row r="167" spans="2:11" s="161" customFormat="1" ht="23.1" customHeight="1">
      <c r="B167" s="283"/>
      <c r="C167" s="226" t="s">
        <v>42</v>
      </c>
      <c r="D167" s="225">
        <f>$I$53+$I$79+$I$80+I111+$I$127</f>
        <v>631668718.66666675</v>
      </c>
      <c r="E167" s="225">
        <f>$I$53+$I$79+$I$80+I119+$I$127</f>
        <v>659772918.66666663</v>
      </c>
      <c r="F167" s="225">
        <f>$I$53+$I$79+$I$80+I120+$I$127</f>
        <v>651582918.66666663</v>
      </c>
      <c r="G167" s="225">
        <f>$I$53+$I$79+$I$80+I121+$I$127</f>
        <v>645714918.66666663</v>
      </c>
      <c r="H167" s="225">
        <f>$I$53+$I$79+$I$80+I122+$I$127</f>
        <v>639440918.66666663</v>
      </c>
      <c r="I167" s="225">
        <f>$I$53+$I$79+$I$80+I123+$I$127</f>
        <v>652743918.66666663</v>
      </c>
      <c r="J167" s="225">
        <f>$I$53+$I$79+$I$80+I124+$I$127</f>
        <v>645511918.66666663</v>
      </c>
      <c r="K167" s="231">
        <v>659677598.66666698</v>
      </c>
    </row>
    <row r="168" spans="2:11" s="161" customFormat="1" ht="23.1" customHeight="1">
      <c r="B168" s="283"/>
      <c r="C168" s="226" t="s">
        <v>43</v>
      </c>
      <c r="D168" s="225">
        <f t="shared" ref="D168:K168" si="72">D167-D166</f>
        <v>-20092760.333333254</v>
      </c>
      <c r="E168" s="225">
        <f t="shared" si="72"/>
        <v>8011439.6666666269</v>
      </c>
      <c r="F168" s="225">
        <f t="shared" si="72"/>
        <v>-178560.33333337307</v>
      </c>
      <c r="G168" s="225">
        <f t="shared" si="72"/>
        <v>-6046560.3333333731</v>
      </c>
      <c r="H168" s="225">
        <f t="shared" si="72"/>
        <v>-12320560.333333373</v>
      </c>
      <c r="I168" s="225">
        <f t="shared" si="72"/>
        <v>982439.66666662693</v>
      </c>
      <c r="J168" s="225">
        <f t="shared" si="72"/>
        <v>-6249560.3333333731</v>
      </c>
      <c r="K168" s="231">
        <f t="shared" si="72"/>
        <v>7916119.6666669846</v>
      </c>
    </row>
    <row r="169" spans="2:11" s="161" customFormat="1" ht="23.1" customHeight="1">
      <c r="B169" s="284"/>
      <c r="C169" s="226" t="s">
        <v>8</v>
      </c>
      <c r="D169" s="226"/>
      <c r="E169" s="226"/>
      <c r="F169" s="226"/>
      <c r="G169" s="226"/>
      <c r="H169" s="226"/>
      <c r="I169" s="226"/>
      <c r="J169" s="226"/>
      <c r="K169" s="234"/>
    </row>
    <row r="170" spans="2:11" s="161" customFormat="1" ht="23.1" customHeight="1">
      <c r="B170" s="282" t="s">
        <v>111</v>
      </c>
      <c r="C170" s="226" t="s">
        <v>3</v>
      </c>
      <c r="D170" s="225">
        <f>$D$135+$D$139+$D$143</f>
        <v>3333115739.4642859</v>
      </c>
      <c r="E170" s="225">
        <f t="shared" ref="E170:K170" si="73">E158+E162+E166</f>
        <v>3333115739.4642859</v>
      </c>
      <c r="F170" s="225">
        <f t="shared" si="73"/>
        <v>3333115739.4642859</v>
      </c>
      <c r="G170" s="225">
        <f t="shared" si="73"/>
        <v>3333115739.4642859</v>
      </c>
      <c r="H170" s="225">
        <f t="shared" si="73"/>
        <v>3333115739.4642859</v>
      </c>
      <c r="I170" s="225">
        <f t="shared" si="73"/>
        <v>3333115739.4642859</v>
      </c>
      <c r="J170" s="225">
        <f t="shared" si="73"/>
        <v>3333115739.4642859</v>
      </c>
      <c r="K170" s="231">
        <f t="shared" si="73"/>
        <v>3333115739.4642859</v>
      </c>
    </row>
    <row r="171" spans="2:11" s="161" customFormat="1" ht="23.1" customHeight="1">
      <c r="B171" s="283"/>
      <c r="C171" s="226" t="s">
        <v>42</v>
      </c>
      <c r="D171" s="225">
        <f t="shared" ref="D171:K171" si="74">D159+D163+D167</f>
        <v>3158953129.0992069</v>
      </c>
      <c r="E171" s="225">
        <f t="shared" si="74"/>
        <v>3299474129.0992064</v>
      </c>
      <c r="F171" s="225">
        <f t="shared" si="74"/>
        <v>3258524129.0992064</v>
      </c>
      <c r="G171" s="225">
        <f t="shared" si="74"/>
        <v>3229184129.0992064</v>
      </c>
      <c r="H171" s="225">
        <f t="shared" si="74"/>
        <v>3197814129.0992064</v>
      </c>
      <c r="I171" s="225">
        <f t="shared" si="74"/>
        <v>3264329129.0992064</v>
      </c>
      <c r="J171" s="225">
        <f t="shared" si="74"/>
        <v>3228169129.0992064</v>
      </c>
      <c r="K171" s="231">
        <f t="shared" si="74"/>
        <v>3229330689.0992031</v>
      </c>
    </row>
    <row r="172" spans="2:11" s="161" customFormat="1" ht="23.1" customHeight="1">
      <c r="B172" s="283"/>
      <c r="C172" s="226" t="s">
        <v>43</v>
      </c>
      <c r="D172" s="225">
        <f t="shared" ref="D172:K172" si="75">D171-D170</f>
        <v>-174162610.36507893</v>
      </c>
      <c r="E172" s="225">
        <f t="shared" si="75"/>
        <v>-33641610.365079403</v>
      </c>
      <c r="F172" s="225">
        <f t="shared" si="75"/>
        <v>-74591610.365079403</v>
      </c>
      <c r="G172" s="225">
        <f t="shared" si="75"/>
        <v>-103931610.3650794</v>
      </c>
      <c r="H172" s="225">
        <f t="shared" si="75"/>
        <v>-135301610.3650794</v>
      </c>
      <c r="I172" s="225">
        <f t="shared" si="75"/>
        <v>-68786610.365079403</v>
      </c>
      <c r="J172" s="225">
        <f t="shared" si="75"/>
        <v>-104946610.3650794</v>
      </c>
      <c r="K172" s="231">
        <f t="shared" si="75"/>
        <v>-103785050.36508274</v>
      </c>
    </row>
    <row r="173" spans="2:11" s="161" customFormat="1" ht="23.1" customHeight="1">
      <c r="B173" s="284"/>
      <c r="C173" s="226" t="s">
        <v>8</v>
      </c>
      <c r="D173" s="226"/>
      <c r="E173" s="226"/>
      <c r="F173" s="226"/>
      <c r="G173" s="226"/>
      <c r="H173" s="226"/>
      <c r="I173" s="226"/>
      <c r="J173" s="226"/>
      <c r="K173" s="234"/>
    </row>
    <row r="175" spans="2:11">
      <c r="D175" s="21">
        <f t="shared" ref="D175:K175" si="76">D172/23000</f>
        <v>-7572.2874071773449</v>
      </c>
      <c r="E175" s="21">
        <f t="shared" si="76"/>
        <v>-1462.6787115251914</v>
      </c>
      <c r="F175" s="166">
        <f t="shared" si="76"/>
        <v>-3243.1134941338869</v>
      </c>
      <c r="G175" s="21">
        <f t="shared" si="76"/>
        <v>-4518.7656680469308</v>
      </c>
      <c r="H175" s="21">
        <f t="shared" si="76"/>
        <v>-5882.6787115251918</v>
      </c>
      <c r="I175" s="21">
        <f t="shared" si="76"/>
        <v>-2990.7221897860609</v>
      </c>
      <c r="J175" s="21">
        <f t="shared" si="76"/>
        <v>-4562.8961028295389</v>
      </c>
      <c r="K175" s="21">
        <f t="shared" si="76"/>
        <v>-4512.3934941340322</v>
      </c>
    </row>
    <row r="177" spans="2:11">
      <c r="D177" s="21">
        <f>D175-D152</f>
        <v>-1469.875991718417</v>
      </c>
      <c r="E177" s="21"/>
      <c r="F177" s="21">
        <f>+F175-F152</f>
        <v>-1469.8759917184163</v>
      </c>
    </row>
    <row r="178" spans="2:11" hidden="1"/>
    <row r="179" spans="2:11" hidden="1"/>
    <row r="180" spans="2:11" hidden="1"/>
    <row r="181" spans="2:11" hidden="1">
      <c r="D181" s="201" t="s">
        <v>97</v>
      </c>
      <c r="E181" s="201" t="s">
        <v>98</v>
      </c>
      <c r="F181" s="201" t="s">
        <v>99</v>
      </c>
      <c r="G181" s="201" t="s">
        <v>100</v>
      </c>
      <c r="H181" s="201" t="s">
        <v>101</v>
      </c>
      <c r="I181" s="201" t="s">
        <v>102</v>
      </c>
      <c r="J181" s="201" t="s">
        <v>103</v>
      </c>
      <c r="K181" s="201" t="s">
        <v>117</v>
      </c>
    </row>
    <row r="182" spans="2:11" hidden="1">
      <c r="C182" s="252" t="s">
        <v>22</v>
      </c>
      <c r="D182" s="220">
        <f t="shared" ref="D182:K182" si="77">D149</f>
        <v>-140355462.55555534</v>
      </c>
      <c r="E182" s="220">
        <f t="shared" si="77"/>
        <v>165537.44444417953</v>
      </c>
      <c r="F182" s="220">
        <f t="shared" si="77"/>
        <v>-40784462.55555582</v>
      </c>
      <c r="G182" s="220">
        <f t="shared" si="77"/>
        <v>-70124462.55555582</v>
      </c>
      <c r="H182" s="220">
        <f t="shared" si="77"/>
        <v>-101494462.55555582</v>
      </c>
      <c r="I182" s="220">
        <f t="shared" si="77"/>
        <v>-34979462.55555582</v>
      </c>
      <c r="J182" s="220">
        <f t="shared" si="77"/>
        <v>-71139462.55555582</v>
      </c>
      <c r="K182" s="220">
        <f t="shared" si="77"/>
        <v>10153023</v>
      </c>
    </row>
    <row r="183" spans="2:11" hidden="1">
      <c r="C183" s="252" t="s">
        <v>30</v>
      </c>
      <c r="D183" s="220">
        <f t="shared" ref="D183:K183" si="78">D172</f>
        <v>-174162610.36507893</v>
      </c>
      <c r="E183" s="220">
        <f t="shared" si="78"/>
        <v>-33641610.365079403</v>
      </c>
      <c r="F183" s="220">
        <f t="shared" si="78"/>
        <v>-74591610.365079403</v>
      </c>
      <c r="G183" s="220">
        <f t="shared" si="78"/>
        <v>-103931610.3650794</v>
      </c>
      <c r="H183" s="220">
        <f t="shared" si="78"/>
        <v>-135301610.3650794</v>
      </c>
      <c r="I183" s="220">
        <f t="shared" si="78"/>
        <v>-68786610.365079403</v>
      </c>
      <c r="J183" s="220">
        <f t="shared" si="78"/>
        <v>-104946610.3650794</v>
      </c>
      <c r="K183" s="220">
        <f t="shared" si="78"/>
        <v>-103785050.36508274</v>
      </c>
    </row>
    <row r="184" spans="2:11" hidden="1">
      <c r="C184" s="7" t="s">
        <v>43</v>
      </c>
      <c r="D184" s="18">
        <f t="shared" ref="D184:K184" si="79">D183-D182</f>
        <v>-33807147.809523582</v>
      </c>
      <c r="E184" s="18">
        <f t="shared" si="79"/>
        <v>-33807147.809523582</v>
      </c>
      <c r="F184" s="18">
        <f t="shared" si="79"/>
        <v>-33807147.809523582</v>
      </c>
      <c r="G184" s="18">
        <f t="shared" si="79"/>
        <v>-33807147.809523582</v>
      </c>
      <c r="H184" s="18">
        <f t="shared" si="79"/>
        <v>-33807147.809523582</v>
      </c>
      <c r="I184" s="18">
        <f t="shared" si="79"/>
        <v>-33807147.809523582</v>
      </c>
      <c r="J184" s="18">
        <f t="shared" si="79"/>
        <v>-33807147.809523582</v>
      </c>
      <c r="K184" s="18">
        <f t="shared" si="79"/>
        <v>-113938073.36508274</v>
      </c>
    </row>
    <row r="185" spans="2:11" hidden="1"/>
    <row r="186" spans="2:11" hidden="1">
      <c r="D186" s="21">
        <f>D184/23000</f>
        <v>-1469.8759917184166</v>
      </c>
    </row>
    <row r="187" spans="2:11" hidden="1"/>
    <row r="188" spans="2:11">
      <c r="B188" s="21">
        <f>+G52+G97+G126</f>
        <v>1067324977</v>
      </c>
    </row>
    <row r="189" spans="2:11">
      <c r="B189" s="21">
        <f>+H52+I106+I126</f>
        <v>1066472780</v>
      </c>
      <c r="F189" t="s">
        <v>118</v>
      </c>
    </row>
    <row r="190" spans="2:11">
      <c r="D190" s="131" t="s">
        <v>95</v>
      </c>
      <c r="E190" s="131" t="s">
        <v>3</v>
      </c>
      <c r="F190" s="131" t="s">
        <v>42</v>
      </c>
      <c r="G190" s="131" t="s">
        <v>43</v>
      </c>
      <c r="H190" s="230" t="s">
        <v>151</v>
      </c>
      <c r="I190" s="118">
        <v>1322141964.4642859</v>
      </c>
      <c r="J190">
        <v>1322141964.4642859</v>
      </c>
      <c r="K190">
        <f>+I190-J190</f>
        <v>0</v>
      </c>
    </row>
    <row r="191" spans="2:11">
      <c r="D191" s="7" t="s">
        <v>10</v>
      </c>
      <c r="E191" s="220">
        <f>D158</f>
        <v>1345458283.4642859</v>
      </c>
      <c r="F191" s="220">
        <f>D136</f>
        <v>1278445642.4642859</v>
      </c>
      <c r="G191" s="220">
        <f t="shared" ref="G191:G194" si="80">F191-E191</f>
        <v>-67012641</v>
      </c>
      <c r="H191" t="s">
        <v>113</v>
      </c>
      <c r="I191">
        <v>1298839740</v>
      </c>
      <c r="J191">
        <v>1298839740</v>
      </c>
      <c r="K191" s="25">
        <f t="shared" ref="K191:K192" si="81">+I191-J191</f>
        <v>0</v>
      </c>
    </row>
    <row r="192" spans="2:11">
      <c r="D192" s="7" t="s">
        <v>15</v>
      </c>
      <c r="E192" s="220">
        <f>D162</f>
        <v>1335895977</v>
      </c>
      <c r="F192" s="220">
        <f>K140</f>
        <v>1378496540</v>
      </c>
      <c r="G192" s="220">
        <f t="shared" si="80"/>
        <v>42600563</v>
      </c>
      <c r="H192" t="s">
        <v>119</v>
      </c>
      <c r="I192">
        <v>666412380</v>
      </c>
      <c r="J192">
        <v>666412379.99999976</v>
      </c>
      <c r="K192" s="25">
        <f t="shared" si="81"/>
        <v>0</v>
      </c>
    </row>
    <row r="193" spans="4:9">
      <c r="D193" s="7" t="s">
        <v>17</v>
      </c>
      <c r="E193" s="220">
        <f>D166</f>
        <v>651761479</v>
      </c>
      <c r="F193" s="220">
        <f>K144</f>
        <v>686326580</v>
      </c>
      <c r="G193" s="220">
        <f t="shared" si="80"/>
        <v>34565101</v>
      </c>
      <c r="H193" t="s">
        <v>120</v>
      </c>
    </row>
    <row r="194" spans="4:9">
      <c r="D194" s="7" t="s">
        <v>111</v>
      </c>
      <c r="E194" s="220">
        <f>SUM(E191:E193)</f>
        <v>3333115739.4642859</v>
      </c>
      <c r="F194" s="220">
        <f>SUM(F191:F193)</f>
        <v>3343268762.4642859</v>
      </c>
      <c r="G194" s="220">
        <f t="shared" si="80"/>
        <v>10153023</v>
      </c>
    </row>
    <row r="195" spans="4:9">
      <c r="G195" s="21">
        <f>G194/23000</f>
        <v>441.43578260869566</v>
      </c>
    </row>
    <row r="198" spans="4:9">
      <c r="D198" s="131" t="s">
        <v>95</v>
      </c>
      <c r="E198" s="131" t="s">
        <v>3</v>
      </c>
      <c r="F198" s="131" t="s">
        <v>42</v>
      </c>
      <c r="G198" s="131" t="s">
        <v>43</v>
      </c>
      <c r="H198" s="230" t="s">
        <v>152</v>
      </c>
      <c r="I198" s="118"/>
    </row>
    <row r="199" spans="4:9">
      <c r="D199" s="7" t="s">
        <v>10</v>
      </c>
      <c r="E199" s="220">
        <f t="shared" ref="E199:E201" si="82">E191</f>
        <v>1345458283.4642859</v>
      </c>
      <c r="F199" s="220">
        <f>D159</f>
        <v>1264715878.4642859</v>
      </c>
      <c r="G199" s="220">
        <f t="shared" ref="G199:G202" si="83">F199-E199</f>
        <v>-80742405</v>
      </c>
      <c r="H199" t="s">
        <v>113</v>
      </c>
    </row>
    <row r="200" spans="4:9">
      <c r="D200" s="7" t="s">
        <v>15</v>
      </c>
      <c r="E200" s="220">
        <f t="shared" si="82"/>
        <v>1335895977</v>
      </c>
      <c r="F200" s="220">
        <f>K163</f>
        <v>1304937211.96825</v>
      </c>
      <c r="G200" s="220">
        <f t="shared" si="83"/>
        <v>-30958765.031749964</v>
      </c>
      <c r="H200" t="s">
        <v>119</v>
      </c>
    </row>
    <row r="201" spans="4:9">
      <c r="D201" s="7" t="s">
        <v>17</v>
      </c>
      <c r="E201" s="220">
        <f t="shared" si="82"/>
        <v>651761479</v>
      </c>
      <c r="F201" s="220">
        <f>K167</f>
        <v>659677598.66666698</v>
      </c>
      <c r="G201" s="220">
        <f t="shared" si="83"/>
        <v>7916119.6666669846</v>
      </c>
      <c r="H201" t="s">
        <v>120</v>
      </c>
    </row>
    <row r="202" spans="4:9">
      <c r="D202" s="7" t="s">
        <v>111</v>
      </c>
      <c r="E202" s="220">
        <f>SUM(E199:E201)</f>
        <v>3333115739.4642859</v>
      </c>
      <c r="F202" s="220">
        <f>SUM(F199:F201)</f>
        <v>3229330689.0992031</v>
      </c>
      <c r="G202" s="220">
        <f t="shared" si="83"/>
        <v>-103785050.36508274</v>
      </c>
    </row>
    <row r="203" spans="4:9">
      <c r="G203" s="21">
        <f>G202/23000</f>
        <v>-4512.3934941340322</v>
      </c>
    </row>
    <row r="206" spans="4:9">
      <c r="G206" s="21">
        <f>G203-G195</f>
        <v>-4953.8292767427274</v>
      </c>
    </row>
    <row r="210" spans="3:11">
      <c r="C210" s="300" t="s">
        <v>95</v>
      </c>
      <c r="D210" s="300" t="s">
        <v>96</v>
      </c>
      <c r="E210" s="236" t="s">
        <v>97</v>
      </c>
      <c r="F210" s="236" t="s">
        <v>98</v>
      </c>
      <c r="G210" s="236" t="s">
        <v>99</v>
      </c>
      <c r="H210" s="236" t="s">
        <v>100</v>
      </c>
      <c r="I210" s="236" t="s">
        <v>101</v>
      </c>
      <c r="J210" s="236" t="s">
        <v>102</v>
      </c>
      <c r="K210" s="236" t="s">
        <v>103</v>
      </c>
    </row>
    <row r="211" spans="3:11" ht="30">
      <c r="C211" s="301"/>
      <c r="D211" s="301"/>
      <c r="E211" s="194" t="s">
        <v>104</v>
      </c>
      <c r="F211" s="237" t="s">
        <v>153</v>
      </c>
      <c r="G211" s="383" t="s">
        <v>154</v>
      </c>
      <c r="H211" s="237" t="s">
        <v>155</v>
      </c>
      <c r="I211" s="237" t="s">
        <v>156</v>
      </c>
      <c r="J211" s="237" t="s">
        <v>157</v>
      </c>
      <c r="K211" s="237" t="s">
        <v>157</v>
      </c>
    </row>
    <row r="212" spans="3:11">
      <c r="C212" s="168" t="s">
        <v>10</v>
      </c>
      <c r="D212" s="238">
        <f>+D135</f>
        <v>1345458283.4642859</v>
      </c>
      <c r="E212" s="239">
        <f>+D136</f>
        <v>1278445642.4642859</v>
      </c>
      <c r="F212" s="239">
        <f t="shared" ref="E212:K212" si="84">+E136</f>
        <v>1278445642.4642859</v>
      </c>
      <c r="G212" s="239">
        <f t="shared" si="84"/>
        <v>1278445642.4642859</v>
      </c>
      <c r="H212" s="239">
        <f t="shared" si="84"/>
        <v>1278445642.4642859</v>
      </c>
      <c r="I212" s="239">
        <f t="shared" si="84"/>
        <v>1278445642.4642859</v>
      </c>
      <c r="J212" s="239">
        <f t="shared" si="84"/>
        <v>1278445642.4642859</v>
      </c>
      <c r="K212" s="239">
        <f t="shared" si="84"/>
        <v>1278445642.4642859</v>
      </c>
    </row>
    <row r="213" spans="3:11">
      <c r="C213" s="168" t="s">
        <v>15</v>
      </c>
      <c r="D213" s="238">
        <f>+D139</f>
        <v>1335895977</v>
      </c>
      <c r="E213" s="239">
        <f>+D140</f>
        <v>1272644723.7777777</v>
      </c>
      <c r="F213" s="239">
        <f t="shared" ref="E213:K213" si="85">+E140</f>
        <v>1385061523.7777777</v>
      </c>
      <c r="G213" s="239">
        <f t="shared" si="85"/>
        <v>1352301523.7777777</v>
      </c>
      <c r="H213" s="239">
        <f t="shared" si="85"/>
        <v>1328829523.7777777</v>
      </c>
      <c r="I213" s="239">
        <f t="shared" si="85"/>
        <v>1303733523.7777777</v>
      </c>
      <c r="J213" s="239">
        <f t="shared" si="85"/>
        <v>1356945523.7777777</v>
      </c>
      <c r="K213" s="239">
        <f t="shared" si="85"/>
        <v>1328017523.7777777</v>
      </c>
    </row>
    <row r="214" spans="3:11">
      <c r="C214" s="168" t="s">
        <v>17</v>
      </c>
      <c r="D214" s="238">
        <f>+D143</f>
        <v>651761479</v>
      </c>
      <c r="E214" s="239">
        <f t="shared" ref="E214:K214" si="86">+D144</f>
        <v>641669910.66666675</v>
      </c>
      <c r="F214" s="239">
        <f t="shared" si="86"/>
        <v>669774110.66666663</v>
      </c>
      <c r="G214" s="239">
        <f t="shared" si="86"/>
        <v>661584110.66666663</v>
      </c>
      <c r="H214" s="239">
        <f t="shared" si="86"/>
        <v>655716110.66666663</v>
      </c>
      <c r="I214" s="239">
        <f t="shared" si="86"/>
        <v>649442110.66666663</v>
      </c>
      <c r="J214" s="239">
        <f t="shared" si="86"/>
        <v>662745110.66666663</v>
      </c>
      <c r="K214" s="239">
        <f t="shared" si="86"/>
        <v>655513110.66666663</v>
      </c>
    </row>
    <row r="215" spans="3:11">
      <c r="C215" s="168" t="s">
        <v>111</v>
      </c>
      <c r="D215" s="238">
        <f>D212+D213+D214</f>
        <v>3333115739.4642859</v>
      </c>
      <c r="E215" s="238">
        <f t="shared" ref="E215:K215" si="87">+E212+E213+E214</f>
        <v>3192760276.9087305</v>
      </c>
      <c r="F215" s="238">
        <f t="shared" si="87"/>
        <v>3333281276.90873</v>
      </c>
      <c r="G215" s="238">
        <f t="shared" si="87"/>
        <v>3292331276.90873</v>
      </c>
      <c r="H215" s="238">
        <f t="shared" si="87"/>
        <v>3262991276.90873</v>
      </c>
      <c r="I215" s="238">
        <f t="shared" si="87"/>
        <v>3231621276.90873</v>
      </c>
      <c r="J215" s="238">
        <f t="shared" si="87"/>
        <v>3298136276.90873</v>
      </c>
      <c r="K215" s="238">
        <f t="shared" si="87"/>
        <v>3261976276.90873</v>
      </c>
    </row>
    <row r="216" spans="3:11">
      <c r="C216" s="168" t="s">
        <v>43</v>
      </c>
      <c r="D216" s="168"/>
      <c r="E216" s="239">
        <f t="shared" ref="E216:K216" si="88">+E215-$D$215</f>
        <v>-140355462.55555534</v>
      </c>
      <c r="F216" s="239">
        <f t="shared" si="88"/>
        <v>165537.44444417953</v>
      </c>
      <c r="G216" s="239">
        <f t="shared" si="88"/>
        <v>-40784462.55555582</v>
      </c>
      <c r="H216" s="239">
        <f t="shared" si="88"/>
        <v>-70124462.55555582</v>
      </c>
      <c r="I216" s="239">
        <f t="shared" si="88"/>
        <v>-101494462.55555582</v>
      </c>
      <c r="J216" s="239">
        <f t="shared" si="88"/>
        <v>-34979462.55555582</v>
      </c>
      <c r="K216" s="239">
        <f t="shared" si="88"/>
        <v>-71139462.55555582</v>
      </c>
    </row>
    <row r="217" spans="3:11">
      <c r="C217" s="168"/>
      <c r="D217" s="168" t="s">
        <v>112</v>
      </c>
      <c r="E217" s="239">
        <f t="shared" ref="E217:K217" si="89">+E216/23000</f>
        <v>-6102.4114154589279</v>
      </c>
      <c r="F217" s="239">
        <f t="shared" si="89"/>
        <v>7.1972801932251969</v>
      </c>
      <c r="G217" s="239">
        <f t="shared" si="89"/>
        <v>-1773.2375024154705</v>
      </c>
      <c r="H217" s="239">
        <f t="shared" si="89"/>
        <v>-3048.8896763285138</v>
      </c>
      <c r="I217" s="239">
        <f t="shared" si="89"/>
        <v>-4412.8027198067748</v>
      </c>
      <c r="J217" s="239">
        <f t="shared" si="89"/>
        <v>-1520.8461980676443</v>
      </c>
      <c r="K217" s="239">
        <f t="shared" si="89"/>
        <v>-3093.0201111111228</v>
      </c>
    </row>
    <row r="218" spans="3:11">
      <c r="D218" s="160"/>
    </row>
    <row r="219" spans="3:11">
      <c r="D219" s="160"/>
      <c r="E219" s="25">
        <f>+E215/23000</f>
        <v>138815.66421342306</v>
      </c>
      <c r="F219" s="25">
        <f t="shared" ref="F219:K219" si="90">+F215/23000</f>
        <v>144925.27290907523</v>
      </c>
      <c r="G219" s="25">
        <f t="shared" si="90"/>
        <v>143144.83812646652</v>
      </c>
      <c r="H219" s="25">
        <f t="shared" si="90"/>
        <v>141869.18595255347</v>
      </c>
      <c r="I219" s="25">
        <f t="shared" si="90"/>
        <v>140505.27290907523</v>
      </c>
      <c r="J219" s="25">
        <f t="shared" si="90"/>
        <v>143397.22943081436</v>
      </c>
      <c r="K219" s="25">
        <f t="shared" si="90"/>
        <v>141825.05551777087</v>
      </c>
    </row>
    <row r="220" spans="3:11">
      <c r="D220" s="160"/>
    </row>
    <row r="221" spans="3:11">
      <c r="C221" s="300" t="s">
        <v>95</v>
      </c>
      <c r="D221" s="300" t="s">
        <v>96</v>
      </c>
      <c r="E221" s="236" t="s">
        <v>97</v>
      </c>
      <c r="F221" s="236" t="s">
        <v>98</v>
      </c>
      <c r="G221" s="236" t="s">
        <v>99</v>
      </c>
      <c r="H221" s="236" t="s">
        <v>100</v>
      </c>
      <c r="I221" s="236" t="s">
        <v>101</v>
      </c>
      <c r="J221" s="236" t="s">
        <v>102</v>
      </c>
      <c r="K221" s="236" t="s">
        <v>103</v>
      </c>
    </row>
    <row r="222" spans="3:11" ht="30">
      <c r="C222" s="301"/>
      <c r="D222" s="301"/>
      <c r="E222" s="168" t="s">
        <v>104</v>
      </c>
      <c r="F222" s="237" t="s">
        <v>153</v>
      </c>
      <c r="G222" s="237" t="s">
        <v>154</v>
      </c>
      <c r="H222" s="237" t="s">
        <v>155</v>
      </c>
      <c r="I222" s="237" t="s">
        <v>156</v>
      </c>
      <c r="J222" s="237" t="s">
        <v>157</v>
      </c>
      <c r="K222" s="237" t="s">
        <v>157</v>
      </c>
    </row>
    <row r="223" spans="3:11">
      <c r="C223" s="168" t="s">
        <v>10</v>
      </c>
      <c r="D223" s="238">
        <f>+D158</f>
        <v>1345458283.4642859</v>
      </c>
      <c r="E223" s="239">
        <f t="shared" ref="E223:K223" si="91">+D159</f>
        <v>1264715878.4642859</v>
      </c>
      <c r="F223" s="239">
        <f t="shared" si="91"/>
        <v>1264715878.4642859</v>
      </c>
      <c r="G223" s="239">
        <f t="shared" si="91"/>
        <v>1264715878.4642859</v>
      </c>
      <c r="H223" s="239">
        <f t="shared" si="91"/>
        <v>1264715878.4642859</v>
      </c>
      <c r="I223" s="239">
        <f t="shared" si="91"/>
        <v>1264715878.4642859</v>
      </c>
      <c r="J223" s="239">
        <f t="shared" si="91"/>
        <v>1264715878.4642859</v>
      </c>
      <c r="K223" s="239">
        <f t="shared" si="91"/>
        <v>1264715878.4642859</v>
      </c>
    </row>
    <row r="224" spans="3:11">
      <c r="C224" s="168" t="s">
        <v>15</v>
      </c>
      <c r="D224" s="238">
        <f>+D162</f>
        <v>1335895977</v>
      </c>
      <c r="E224" s="239">
        <f t="shared" ref="E224:K224" si="92">+D163</f>
        <v>1262568531.9682541</v>
      </c>
      <c r="F224" s="239">
        <f t="shared" si="92"/>
        <v>1374985331.9682541</v>
      </c>
      <c r="G224" s="239">
        <f t="shared" si="92"/>
        <v>1342225331.9682541</v>
      </c>
      <c r="H224" s="239">
        <f t="shared" si="92"/>
        <v>1318753331.9682541</v>
      </c>
      <c r="I224" s="239">
        <f t="shared" si="92"/>
        <v>1293657331.9682541</v>
      </c>
      <c r="J224" s="239">
        <f t="shared" si="92"/>
        <v>1346869331.9682541</v>
      </c>
      <c r="K224" s="239">
        <f t="shared" si="92"/>
        <v>1317941331.9682541</v>
      </c>
    </row>
    <row r="225" spans="3:11">
      <c r="C225" s="168" t="s">
        <v>17</v>
      </c>
      <c r="D225" s="238">
        <f>+D166</f>
        <v>651761479</v>
      </c>
      <c r="E225" s="239">
        <f t="shared" ref="E225:K225" si="93">+D167</f>
        <v>631668718.66666675</v>
      </c>
      <c r="F225" s="239">
        <f t="shared" si="93"/>
        <v>659772918.66666663</v>
      </c>
      <c r="G225" s="239">
        <f t="shared" si="93"/>
        <v>651582918.66666663</v>
      </c>
      <c r="H225" s="239">
        <f t="shared" si="93"/>
        <v>645714918.66666663</v>
      </c>
      <c r="I225" s="239">
        <f t="shared" si="93"/>
        <v>639440918.66666663</v>
      </c>
      <c r="J225" s="239">
        <f t="shared" si="93"/>
        <v>652743918.66666663</v>
      </c>
      <c r="K225" s="239">
        <f t="shared" si="93"/>
        <v>645511918.66666663</v>
      </c>
    </row>
    <row r="226" spans="3:11">
      <c r="C226" s="168" t="s">
        <v>111</v>
      </c>
      <c r="D226" s="238">
        <f t="shared" ref="D226:K226" si="94">+D223+D224+D225</f>
        <v>3333115739.4642859</v>
      </c>
      <c r="E226" s="238">
        <f t="shared" si="94"/>
        <v>3158953129.0992069</v>
      </c>
      <c r="F226" s="238">
        <f t="shared" si="94"/>
        <v>3299474129.0992064</v>
      </c>
      <c r="G226" s="238">
        <f t="shared" si="94"/>
        <v>3258524129.0992064</v>
      </c>
      <c r="H226" s="238">
        <f t="shared" si="94"/>
        <v>3229184129.0992064</v>
      </c>
      <c r="I226" s="238">
        <f t="shared" si="94"/>
        <v>3197814129.0992064</v>
      </c>
      <c r="J226" s="238">
        <f t="shared" si="94"/>
        <v>3264329129.0992064</v>
      </c>
      <c r="K226" s="238">
        <f t="shared" si="94"/>
        <v>3228169129.0992064</v>
      </c>
    </row>
    <row r="227" spans="3:11">
      <c r="C227" s="168" t="s">
        <v>43</v>
      </c>
      <c r="D227" s="168"/>
      <c r="E227" s="239">
        <f t="shared" ref="E227:K227" si="95">+E226-$D$226</f>
        <v>-174162610.36507893</v>
      </c>
      <c r="F227" s="239">
        <f t="shared" si="95"/>
        <v>-33641610.365079403</v>
      </c>
      <c r="G227" s="239">
        <f t="shared" si="95"/>
        <v>-74591610.365079403</v>
      </c>
      <c r="H227" s="239">
        <f t="shared" si="95"/>
        <v>-103931610.3650794</v>
      </c>
      <c r="I227" s="239">
        <f t="shared" si="95"/>
        <v>-135301610.3650794</v>
      </c>
      <c r="J227" s="239">
        <f t="shared" si="95"/>
        <v>-68786610.365079403</v>
      </c>
      <c r="K227" s="239">
        <f t="shared" si="95"/>
        <v>-104946610.3650794</v>
      </c>
    </row>
    <row r="228" spans="3:11">
      <c r="C228" s="168"/>
      <c r="D228" s="168" t="s">
        <v>112</v>
      </c>
      <c r="E228" s="239">
        <f t="shared" ref="E228:K228" si="96">+E227/23000</f>
        <v>-7572.2874071773449</v>
      </c>
      <c r="F228" s="239">
        <f t="shared" si="96"/>
        <v>-1462.6787115251914</v>
      </c>
      <c r="G228" s="239">
        <f t="shared" si="96"/>
        <v>-3243.1134941338869</v>
      </c>
      <c r="H228" s="239">
        <f t="shared" si="96"/>
        <v>-4518.7656680469308</v>
      </c>
      <c r="I228" s="239">
        <f t="shared" si="96"/>
        <v>-5882.6787115251918</v>
      </c>
      <c r="J228" s="239">
        <f t="shared" si="96"/>
        <v>-2990.7221897860609</v>
      </c>
      <c r="K228" s="239">
        <f t="shared" si="96"/>
        <v>-4562.8961028295389</v>
      </c>
    </row>
    <row r="230" spans="3:11">
      <c r="E230" s="25">
        <f>+E226/23000</f>
        <v>137345.78822170466</v>
      </c>
      <c r="F230" s="25">
        <f t="shared" ref="F230:K230" si="97">+F226/23000</f>
        <v>143455.39691735679</v>
      </c>
      <c r="G230" s="25">
        <f t="shared" si="97"/>
        <v>141674.96213474812</v>
      </c>
      <c r="H230" s="25">
        <f t="shared" si="97"/>
        <v>140399.30996083506</v>
      </c>
      <c r="I230" s="25">
        <f t="shared" si="97"/>
        <v>139035.39691735679</v>
      </c>
      <c r="J230" s="25">
        <f t="shared" si="97"/>
        <v>141927.35343909592</v>
      </c>
      <c r="K230" s="25">
        <f t="shared" si="97"/>
        <v>140355.17952605247</v>
      </c>
    </row>
    <row r="235" spans="3:11">
      <c r="H235" s="25">
        <v>337260000</v>
      </c>
      <c r="I235" s="25">
        <v>139963315.80000001</v>
      </c>
      <c r="J235" s="25"/>
    </row>
    <row r="236" spans="3:11">
      <c r="C236" s="25">
        <v>337260000</v>
      </c>
      <c r="D236" s="25">
        <v>139963315.80000001</v>
      </c>
      <c r="E236" s="25"/>
      <c r="H236" s="25">
        <v>33740000</v>
      </c>
      <c r="I236" s="25">
        <v>12723937.800000001</v>
      </c>
      <c r="J236" s="25"/>
    </row>
    <row r="237" spans="3:11">
      <c r="C237" s="25">
        <v>33740000</v>
      </c>
      <c r="D237" s="25">
        <v>12723937.800000001</v>
      </c>
      <c r="E237" s="25"/>
      <c r="H237" s="25">
        <v>70040000</v>
      </c>
      <c r="I237" s="25">
        <v>25447875.600000001</v>
      </c>
      <c r="J237" s="25"/>
    </row>
    <row r="238" spans="3:11">
      <c r="C238" s="25">
        <v>70040000</v>
      </c>
      <c r="D238" s="25">
        <v>25447875.600000001</v>
      </c>
      <c r="E238" s="25"/>
      <c r="H238" s="25"/>
      <c r="I238" s="25"/>
      <c r="J238" s="25"/>
    </row>
    <row r="239" spans="3:11">
      <c r="C239" s="25"/>
      <c r="D239" s="25"/>
      <c r="E239" s="25"/>
      <c r="H239" s="25">
        <v>113520000</v>
      </c>
      <c r="I239" s="25">
        <v>38171813.400000006</v>
      </c>
      <c r="J239" s="25"/>
    </row>
    <row r="240" spans="3:11">
      <c r="C240" s="25">
        <v>113520000</v>
      </c>
      <c r="D240" s="25">
        <v>38171813.400000006</v>
      </c>
      <c r="E240" s="25"/>
      <c r="H240" s="25">
        <v>75680000</v>
      </c>
      <c r="I240" s="25">
        <v>24474539.425000001</v>
      </c>
      <c r="J240" s="25"/>
    </row>
    <row r="241" spans="3:10">
      <c r="C241" s="25">
        <v>75680000</v>
      </c>
      <c r="D241" s="25">
        <v>24474539.425000001</v>
      </c>
      <c r="E241" s="25"/>
      <c r="H241" s="25">
        <v>630240000</v>
      </c>
      <c r="I241" s="25">
        <v>240781482.02500004</v>
      </c>
      <c r="J241" s="25" t="s">
        <v>346</v>
      </c>
    </row>
    <row r="242" spans="3:10">
      <c r="C242" s="25">
        <v>630240000</v>
      </c>
      <c r="D242" s="25">
        <v>254238552</v>
      </c>
      <c r="E242" s="25" t="s">
        <v>3</v>
      </c>
      <c r="H242" s="25">
        <v>707504000</v>
      </c>
      <c r="I242" s="25">
        <v>206365273.60160047</v>
      </c>
      <c r="J242" s="25" t="s">
        <v>347</v>
      </c>
    </row>
    <row r="243" spans="3:10">
      <c r="C243" s="25">
        <v>707504000</v>
      </c>
      <c r="D243" s="25">
        <v>205749220</v>
      </c>
      <c r="E243" s="25" t="s">
        <v>42</v>
      </c>
    </row>
    <row r="244" spans="3:10">
      <c r="C244" s="25">
        <f>+C243-C242</f>
        <v>77264000</v>
      </c>
      <c r="D244" s="25">
        <f>+D243-D242</f>
        <v>-48489332</v>
      </c>
      <c r="E244" s="25">
        <f>+C244+D244</f>
        <v>28774668</v>
      </c>
    </row>
    <row r="245" spans="3:10">
      <c r="D245" t="s">
        <v>348</v>
      </c>
      <c r="E245" s="25">
        <v>-14662768</v>
      </c>
    </row>
    <row r="246" spans="3:10">
      <c r="D246" t="s">
        <v>349</v>
      </c>
      <c r="E246" s="25">
        <v>-10916086</v>
      </c>
    </row>
    <row r="247" spans="3:10">
      <c r="D247" t="s">
        <v>159</v>
      </c>
      <c r="E247" s="25">
        <v>-613957</v>
      </c>
    </row>
    <row r="249" spans="3:10">
      <c r="E249" s="166">
        <f>SUM(E244:E247)</f>
        <v>2581857</v>
      </c>
    </row>
  </sheetData>
  <mergeCells count="120">
    <mergeCell ref="K72:M74"/>
    <mergeCell ref="K78:M80"/>
    <mergeCell ref="B133:C134"/>
    <mergeCell ref="K60:M62"/>
    <mergeCell ref="K66:M68"/>
    <mergeCell ref="K48:M49"/>
    <mergeCell ref="B156:C157"/>
    <mergeCell ref="C210:C211"/>
    <mergeCell ref="C221:C222"/>
    <mergeCell ref="D48:D49"/>
    <mergeCell ref="D210:D211"/>
    <mergeCell ref="D221:D222"/>
    <mergeCell ref="E48:E49"/>
    <mergeCell ref="B55:B58"/>
    <mergeCell ref="B59:B64"/>
    <mergeCell ref="B65:B70"/>
    <mergeCell ref="B71:B76"/>
    <mergeCell ref="B77:B82"/>
    <mergeCell ref="B83:B127"/>
    <mergeCell ref="B135:B138"/>
    <mergeCell ref="B139:B142"/>
    <mergeCell ref="B143:B146"/>
    <mergeCell ref="K123:M123"/>
    <mergeCell ref="K124:M124"/>
    <mergeCell ref="I32:I34"/>
    <mergeCell ref="I39:I41"/>
    <mergeCell ref="J48:J49"/>
    <mergeCell ref="B147:B150"/>
    <mergeCell ref="B158:B161"/>
    <mergeCell ref="B162:B165"/>
    <mergeCell ref="B166:B169"/>
    <mergeCell ref="B170:B173"/>
    <mergeCell ref="C48:C49"/>
    <mergeCell ref="C51:C54"/>
    <mergeCell ref="C55:C58"/>
    <mergeCell ref="C59:C62"/>
    <mergeCell ref="C65:C68"/>
    <mergeCell ref="C71:C74"/>
    <mergeCell ref="C77:C80"/>
    <mergeCell ref="C83:C96"/>
    <mergeCell ref="C97:C110"/>
    <mergeCell ref="C111:C124"/>
    <mergeCell ref="C125:C127"/>
    <mergeCell ref="E146:F146"/>
    <mergeCell ref="G146:H146"/>
    <mergeCell ref="I146:J146"/>
    <mergeCell ref="B48:B49"/>
    <mergeCell ref="B51:B54"/>
    <mergeCell ref="K125:M125"/>
    <mergeCell ref="K126:M126"/>
    <mergeCell ref="K127:M127"/>
    <mergeCell ref="E138:F138"/>
    <mergeCell ref="G138:H138"/>
    <mergeCell ref="I138:J138"/>
    <mergeCell ref="E142:F142"/>
    <mergeCell ref="G142:H142"/>
    <mergeCell ref="I142:J142"/>
    <mergeCell ref="K114:M114"/>
    <mergeCell ref="K115:M115"/>
    <mergeCell ref="K116:M116"/>
    <mergeCell ref="K117:M117"/>
    <mergeCell ref="K118:M118"/>
    <mergeCell ref="K119:M119"/>
    <mergeCell ref="K120:M120"/>
    <mergeCell ref="K121:M121"/>
    <mergeCell ref="K122:M122"/>
    <mergeCell ref="K105:M105"/>
    <mergeCell ref="K106:M106"/>
    <mergeCell ref="K107:M107"/>
    <mergeCell ref="K108:M108"/>
    <mergeCell ref="K109:M109"/>
    <mergeCell ref="K110:M110"/>
    <mergeCell ref="K111:M111"/>
    <mergeCell ref="K112:M112"/>
    <mergeCell ref="K113:M113"/>
    <mergeCell ref="K96:M96"/>
    <mergeCell ref="K97:M97"/>
    <mergeCell ref="K98:M98"/>
    <mergeCell ref="K99:M99"/>
    <mergeCell ref="K100:M100"/>
    <mergeCell ref="K101:M101"/>
    <mergeCell ref="K102:M102"/>
    <mergeCell ref="K103:M103"/>
    <mergeCell ref="K104:M104"/>
    <mergeCell ref="K87:M87"/>
    <mergeCell ref="K88:M88"/>
    <mergeCell ref="K89:M89"/>
    <mergeCell ref="K90:M90"/>
    <mergeCell ref="K91:M91"/>
    <mergeCell ref="K92:M92"/>
    <mergeCell ref="K93:M93"/>
    <mergeCell ref="K94:M94"/>
    <mergeCell ref="K95:M95"/>
    <mergeCell ref="K75:M75"/>
    <mergeCell ref="K76:M76"/>
    <mergeCell ref="K77:M77"/>
    <mergeCell ref="K81:M81"/>
    <mergeCell ref="K82:M82"/>
    <mergeCell ref="K83:M83"/>
    <mergeCell ref="K84:M84"/>
    <mergeCell ref="K85:M85"/>
    <mergeCell ref="K86:M86"/>
    <mergeCell ref="K57:M57"/>
    <mergeCell ref="K58:M58"/>
    <mergeCell ref="K59:M59"/>
    <mergeCell ref="K63:M63"/>
    <mergeCell ref="K64:M64"/>
    <mergeCell ref="K65:M65"/>
    <mergeCell ref="K69:M69"/>
    <mergeCell ref="K70:M70"/>
    <mergeCell ref="K71:M71"/>
    <mergeCell ref="F48:G48"/>
    <mergeCell ref="H48:I48"/>
    <mergeCell ref="K50:M50"/>
    <mergeCell ref="K51:M51"/>
    <mergeCell ref="K52:M52"/>
    <mergeCell ref="K53:M53"/>
    <mergeCell ref="K54:M54"/>
    <mergeCell ref="K55:M55"/>
    <mergeCell ref="K56:M56"/>
  </mergeCells>
  <pageMargins left="0.7" right="0.7" top="0.75" bottom="0.75" header="0.3" footer="0.3"/>
  <pageSetup paperSize="9" scale="39" fitToHeight="0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4:S256"/>
  <sheetViews>
    <sheetView showGridLines="0" topLeftCell="A110" zoomScale="79" zoomScaleNormal="79" workbookViewId="0">
      <selection activeCell="G267" sqref="G267"/>
    </sheetView>
  </sheetViews>
  <sheetFormatPr defaultColWidth="9" defaultRowHeight="15"/>
  <cols>
    <col min="2" max="2" width="16" customWidth="1"/>
    <col min="3" max="3" width="11.28515625" customWidth="1"/>
    <col min="4" max="4" width="24.28515625" customWidth="1"/>
    <col min="5" max="5" width="22.140625" customWidth="1"/>
    <col min="6" max="10" width="23.42578125" customWidth="1"/>
    <col min="11" max="11" width="20.28515625" customWidth="1"/>
    <col min="12" max="12" width="14.140625" customWidth="1"/>
    <col min="13" max="19" width="16.28515625" customWidth="1"/>
  </cols>
  <sheetData>
    <row r="4" spans="2:19" ht="46.5">
      <c r="B4" s="206" t="s">
        <v>192</v>
      </c>
    </row>
    <row r="5" spans="2:19" hidden="1"/>
    <row r="6" spans="2:19" hidden="1">
      <c r="C6" s="22" t="s">
        <v>1</v>
      </c>
    </row>
    <row r="7" spans="2:19" ht="30" hidden="1">
      <c r="C7" s="207" t="s">
        <v>2</v>
      </c>
      <c r="D7" s="208" t="s">
        <v>3</v>
      </c>
      <c r="E7" s="209" t="s">
        <v>4</v>
      </c>
      <c r="F7" s="208"/>
      <c r="G7" s="208" t="s">
        <v>6</v>
      </c>
      <c r="H7" s="208" t="s">
        <v>7</v>
      </c>
      <c r="I7" s="208" t="s">
        <v>8</v>
      </c>
      <c r="J7" s="208" t="s">
        <v>9</v>
      </c>
    </row>
    <row r="8" spans="2:19" ht="75" hidden="1">
      <c r="C8" s="176" t="s">
        <v>10</v>
      </c>
      <c r="D8" s="204">
        <v>85121795</v>
      </c>
      <c r="E8" s="210">
        <v>76154200</v>
      </c>
      <c r="F8" s="211"/>
      <c r="G8" s="204">
        <v>89576433</v>
      </c>
      <c r="H8" s="204">
        <v>132247427</v>
      </c>
      <c r="I8" s="250" t="s">
        <v>11</v>
      </c>
      <c r="J8" s="210">
        <f>+E8-D8</f>
        <v>-8967595</v>
      </c>
    </row>
    <row r="9" spans="2:19" hidden="1"/>
    <row r="10" spans="2:19" ht="30" hidden="1">
      <c r="C10" s="207" t="s">
        <v>12</v>
      </c>
      <c r="D10" s="208" t="s">
        <v>3</v>
      </c>
      <c r="E10" s="208" t="s">
        <v>4</v>
      </c>
      <c r="F10" s="208"/>
      <c r="G10" s="209" t="s">
        <v>6</v>
      </c>
      <c r="H10" s="208" t="s">
        <v>7</v>
      </c>
      <c r="I10" s="208" t="s">
        <v>8</v>
      </c>
      <c r="J10" s="208" t="s">
        <v>9</v>
      </c>
      <c r="L10" s="207" t="s">
        <v>13</v>
      </c>
      <c r="M10" s="208" t="s">
        <v>3</v>
      </c>
      <c r="N10" s="208" t="s">
        <v>4</v>
      </c>
      <c r="O10" s="208" t="s">
        <v>5</v>
      </c>
      <c r="P10" s="208" t="s">
        <v>6</v>
      </c>
      <c r="Q10" s="208" t="s">
        <v>7</v>
      </c>
      <c r="R10" s="208" t="s">
        <v>8</v>
      </c>
      <c r="S10" s="208" t="s">
        <v>9</v>
      </c>
    </row>
    <row r="11" spans="2:19" ht="45" hidden="1">
      <c r="C11" s="176" t="s">
        <v>10</v>
      </c>
      <c r="D11" s="204">
        <v>42471157</v>
      </c>
      <c r="E11" s="204">
        <v>40682600</v>
      </c>
      <c r="F11" s="204"/>
      <c r="G11" s="204">
        <v>33197822</v>
      </c>
      <c r="H11" s="211"/>
      <c r="I11" s="216" t="s">
        <v>14</v>
      </c>
      <c r="J11" s="204"/>
      <c r="L11" s="176" t="s">
        <v>10</v>
      </c>
      <c r="M11" s="211"/>
      <c r="N11" s="204">
        <v>44264590</v>
      </c>
      <c r="O11" s="211"/>
      <c r="P11" s="211"/>
      <c r="Q11" s="204">
        <v>42968280</v>
      </c>
      <c r="R11" s="204"/>
      <c r="S11" s="204"/>
    </row>
    <row r="12" spans="2:19" ht="45" hidden="1">
      <c r="C12" s="176" t="s">
        <v>15</v>
      </c>
      <c r="D12" s="204">
        <v>45837757</v>
      </c>
      <c r="E12" s="204">
        <v>45223800</v>
      </c>
      <c r="F12" s="204"/>
      <c r="G12" s="204">
        <v>38273422</v>
      </c>
      <c r="H12" s="211"/>
      <c r="I12" s="216" t="s">
        <v>16</v>
      </c>
      <c r="J12" s="204"/>
      <c r="L12" s="176" t="s">
        <v>15</v>
      </c>
      <c r="M12" s="211"/>
      <c r="N12" s="204">
        <v>48585800</v>
      </c>
      <c r="O12" s="211"/>
      <c r="P12" s="211"/>
      <c r="Q12" s="204">
        <v>48078804</v>
      </c>
      <c r="R12" s="204"/>
      <c r="S12" s="204"/>
    </row>
    <row r="13" spans="2:19" ht="30" hidden="1">
      <c r="C13" s="176" t="s">
        <v>17</v>
      </c>
      <c r="D13" s="204">
        <v>44133157</v>
      </c>
      <c r="E13" s="204">
        <v>42965200</v>
      </c>
      <c r="F13" s="204"/>
      <c r="G13" s="204">
        <v>35764522</v>
      </c>
      <c r="H13" s="211"/>
      <c r="I13" s="216" t="s">
        <v>18</v>
      </c>
      <c r="J13" s="204"/>
      <c r="L13" s="176" t="s">
        <v>17</v>
      </c>
      <c r="M13" s="211"/>
      <c r="N13" s="204">
        <v>45782200</v>
      </c>
      <c r="O13" s="211"/>
      <c r="P13" s="211"/>
      <c r="Q13" s="204">
        <v>46398804</v>
      </c>
      <c r="R13" s="204"/>
      <c r="S13" s="204"/>
    </row>
    <row r="14" spans="2:19" hidden="1">
      <c r="C14" s="176" t="s">
        <v>19</v>
      </c>
      <c r="D14" s="210">
        <f t="shared" ref="D14:H14" si="0">SUM(D11:D13)</f>
        <v>132442071</v>
      </c>
      <c r="E14" s="204">
        <f t="shared" si="0"/>
        <v>128871600</v>
      </c>
      <c r="F14" s="204"/>
      <c r="G14" s="210">
        <f t="shared" si="0"/>
        <v>107235766</v>
      </c>
      <c r="H14" s="211">
        <f t="shared" si="0"/>
        <v>0</v>
      </c>
      <c r="I14" s="204">
        <f>+E14-D14</f>
        <v>-3570471</v>
      </c>
      <c r="J14" s="204">
        <f>+G14-D14</f>
        <v>-25206305</v>
      </c>
      <c r="L14" s="176" t="s">
        <v>19</v>
      </c>
      <c r="M14" s="211">
        <f t="shared" ref="M14:S14" si="1">SUM(M11:M13)</f>
        <v>0</v>
      </c>
      <c r="N14" s="204">
        <f t="shared" si="1"/>
        <v>138632590</v>
      </c>
      <c r="O14" s="211">
        <f t="shared" si="1"/>
        <v>0</v>
      </c>
      <c r="P14" s="211">
        <f t="shared" si="1"/>
        <v>0</v>
      </c>
      <c r="Q14" s="204">
        <f t="shared" si="1"/>
        <v>137445888</v>
      </c>
      <c r="R14" s="204">
        <f t="shared" si="1"/>
        <v>0</v>
      </c>
      <c r="S14" s="204">
        <f t="shared" si="1"/>
        <v>0</v>
      </c>
    </row>
    <row r="15" spans="2:19" hidden="1">
      <c r="C15" s="176" t="s">
        <v>20</v>
      </c>
      <c r="D15" s="210">
        <f t="shared" ref="D15:G15" si="2">AVERAGE(D11:D13)</f>
        <v>44147357</v>
      </c>
      <c r="E15" s="204">
        <f t="shared" si="2"/>
        <v>42957200</v>
      </c>
      <c r="F15" s="204"/>
      <c r="G15" s="210">
        <f t="shared" si="2"/>
        <v>35745255.333333336</v>
      </c>
      <c r="H15" s="204"/>
      <c r="I15" s="204"/>
      <c r="J15" s="210">
        <f>+G15-D15</f>
        <v>-8402101.6666666642</v>
      </c>
      <c r="L15" s="176" t="s">
        <v>20</v>
      </c>
      <c r="M15" s="204"/>
      <c r="N15" s="210">
        <f>AVERAGE(N11:N13)</f>
        <v>46210863.333333336</v>
      </c>
      <c r="O15" s="204"/>
      <c r="P15" s="204"/>
      <c r="Q15" s="204">
        <f>AVERAGE(Q11:Q13)</f>
        <v>45815296</v>
      </c>
      <c r="R15" s="204"/>
      <c r="S15" s="204"/>
    </row>
    <row r="16" spans="2:19" hidden="1"/>
    <row r="17" spans="3:19" ht="30" hidden="1">
      <c r="C17" s="207" t="s">
        <v>21</v>
      </c>
      <c r="D17" s="208" t="s">
        <v>3</v>
      </c>
      <c r="E17" s="208" t="s">
        <v>4</v>
      </c>
      <c r="F17" s="208"/>
      <c r="G17" s="208" t="s">
        <v>6</v>
      </c>
      <c r="H17" s="208" t="s">
        <v>7</v>
      </c>
      <c r="I17" s="208" t="s">
        <v>8</v>
      </c>
      <c r="J17" s="208" t="s">
        <v>9</v>
      </c>
      <c r="L17" s="207" t="s">
        <v>22</v>
      </c>
      <c r="M17" s="208" t="s">
        <v>3</v>
      </c>
      <c r="N17" s="208" t="s">
        <v>4</v>
      </c>
      <c r="O17" s="208" t="s">
        <v>5</v>
      </c>
      <c r="P17" s="208" t="s">
        <v>6</v>
      </c>
      <c r="Q17" s="208" t="s">
        <v>7</v>
      </c>
      <c r="R17" s="208" t="s">
        <v>8</v>
      </c>
      <c r="S17" s="208" t="s">
        <v>9</v>
      </c>
    </row>
    <row r="18" spans="3:19" ht="60" hidden="1">
      <c r="C18" s="176" t="s">
        <v>10</v>
      </c>
      <c r="D18" s="204">
        <v>43773446.350000001</v>
      </c>
      <c r="E18" s="204">
        <v>47936750</v>
      </c>
      <c r="F18" s="211"/>
      <c r="G18" s="211"/>
      <c r="H18" s="211"/>
      <c r="I18" s="250" t="s">
        <v>23</v>
      </c>
      <c r="J18" s="204"/>
      <c r="L18" s="176" t="s">
        <v>10</v>
      </c>
      <c r="M18" s="204">
        <v>341866500</v>
      </c>
      <c r="N18" s="204">
        <v>44789186</v>
      </c>
      <c r="O18" s="204">
        <v>375667120</v>
      </c>
      <c r="P18" s="204">
        <v>336207798</v>
      </c>
      <c r="Q18" s="204">
        <v>388651417</v>
      </c>
      <c r="R18" s="216" t="s">
        <v>24</v>
      </c>
      <c r="S18" s="204">
        <f t="shared" ref="S18:S22" si="3">+P18-M18</f>
        <v>-5658702</v>
      </c>
    </row>
    <row r="19" spans="3:19" ht="120" hidden="1">
      <c r="C19" s="176" t="s">
        <v>15</v>
      </c>
      <c r="D19" s="204">
        <v>50188321</v>
      </c>
      <c r="E19" s="204">
        <v>55638252.380952403</v>
      </c>
      <c r="F19" s="211"/>
      <c r="G19" s="211"/>
      <c r="H19" s="211"/>
      <c r="I19" s="250" t="s">
        <v>25</v>
      </c>
      <c r="J19" s="204"/>
      <c r="L19" s="176" t="s">
        <v>15</v>
      </c>
      <c r="M19" s="204">
        <v>223594000</v>
      </c>
      <c r="N19" s="204">
        <v>35320438</v>
      </c>
      <c r="O19" s="204">
        <v>266283560</v>
      </c>
      <c r="P19" s="204">
        <v>244183066</v>
      </c>
      <c r="Q19" s="204">
        <v>267524346</v>
      </c>
      <c r="R19" s="216" t="s">
        <v>26</v>
      </c>
      <c r="S19" s="204">
        <f t="shared" si="3"/>
        <v>20589066</v>
      </c>
    </row>
    <row r="20" spans="3:19" ht="75" hidden="1">
      <c r="C20" s="176" t="s">
        <v>17</v>
      </c>
      <c r="D20" s="204">
        <v>47491277.75</v>
      </c>
      <c r="E20" s="204">
        <v>53819475</v>
      </c>
      <c r="F20" s="211"/>
      <c r="G20" s="211"/>
      <c r="H20" s="211"/>
      <c r="I20" s="250" t="s">
        <v>27</v>
      </c>
      <c r="J20" s="204"/>
      <c r="L20" s="176" t="s">
        <v>17</v>
      </c>
      <c r="M20" s="204">
        <v>221055500</v>
      </c>
      <c r="N20" s="204">
        <v>38479080</v>
      </c>
      <c r="O20" s="204">
        <v>263866893.33333299</v>
      </c>
      <c r="P20" s="204">
        <v>242283066</v>
      </c>
      <c r="Q20" s="204">
        <v>265782679.33333299</v>
      </c>
      <c r="R20" s="216" t="s">
        <v>28</v>
      </c>
      <c r="S20" s="204">
        <f t="shared" si="3"/>
        <v>21227566</v>
      </c>
    </row>
    <row r="21" spans="3:19" ht="33" hidden="1" customHeight="1">
      <c r="C21" s="176" t="s">
        <v>19</v>
      </c>
      <c r="D21" s="204">
        <f t="shared" ref="D21:I21" si="4">SUM(D18:D20)</f>
        <v>141453045.09999999</v>
      </c>
      <c r="E21" s="204">
        <f t="shared" si="4"/>
        <v>157394477.38095242</v>
      </c>
      <c r="F21" s="211"/>
      <c r="G21" s="211">
        <f t="shared" si="4"/>
        <v>0</v>
      </c>
      <c r="H21" s="211">
        <f t="shared" si="4"/>
        <v>0</v>
      </c>
      <c r="I21" s="204">
        <f t="shared" si="4"/>
        <v>0</v>
      </c>
      <c r="J21" s="204">
        <f>+E21-D21</f>
        <v>15941432.280952424</v>
      </c>
      <c r="L21" s="176" t="s">
        <v>19</v>
      </c>
      <c r="M21" s="204">
        <f t="shared" ref="M21:R21" si="5">SUM(M18:M20)</f>
        <v>786516000</v>
      </c>
      <c r="N21" s="204">
        <f t="shared" si="5"/>
        <v>118588704</v>
      </c>
      <c r="O21" s="204">
        <f t="shared" si="5"/>
        <v>905817573.33333302</v>
      </c>
      <c r="P21" s="204">
        <f t="shared" si="5"/>
        <v>822673930</v>
      </c>
      <c r="Q21" s="204">
        <f t="shared" si="5"/>
        <v>921958442.33333302</v>
      </c>
      <c r="R21" s="204">
        <f t="shared" si="5"/>
        <v>0</v>
      </c>
      <c r="S21" s="204">
        <f t="shared" si="3"/>
        <v>36157930</v>
      </c>
    </row>
    <row r="22" spans="3:19" ht="33" hidden="1" customHeight="1">
      <c r="C22" s="176" t="s">
        <v>20</v>
      </c>
      <c r="D22" s="210">
        <f>AVERAGE(D18:D20)</f>
        <v>47151015.033333331</v>
      </c>
      <c r="E22" s="210">
        <f>AVERAGE(E18:E20)</f>
        <v>52464825.793650806</v>
      </c>
      <c r="F22" s="212"/>
      <c r="G22" s="212"/>
      <c r="H22" s="204"/>
      <c r="I22" s="204"/>
      <c r="J22" s="210">
        <f>+E22-D22</f>
        <v>5313810.7603174746</v>
      </c>
      <c r="L22" s="176" t="s">
        <v>20</v>
      </c>
      <c r="M22" s="210">
        <f t="shared" ref="M22:Q22" si="6">AVERAGE(M18:M20)</f>
        <v>262172000</v>
      </c>
      <c r="N22" s="204">
        <f t="shared" si="6"/>
        <v>39529568</v>
      </c>
      <c r="O22" s="204">
        <f t="shared" si="6"/>
        <v>301939191.11111099</v>
      </c>
      <c r="P22" s="210">
        <f t="shared" si="6"/>
        <v>274224643.33333331</v>
      </c>
      <c r="Q22" s="204">
        <f t="shared" si="6"/>
        <v>307319480.77777767</v>
      </c>
      <c r="R22" s="204"/>
      <c r="S22" s="210">
        <f t="shared" si="3"/>
        <v>12052643.333333313</v>
      </c>
    </row>
    <row r="23" spans="3:19" hidden="1"/>
    <row r="24" spans="3:19" ht="30" hidden="1">
      <c r="C24" s="207" t="s">
        <v>29</v>
      </c>
      <c r="D24" s="208" t="s">
        <v>3</v>
      </c>
      <c r="E24" s="208" t="s">
        <v>4</v>
      </c>
      <c r="F24" s="208"/>
      <c r="G24" s="208" t="s">
        <v>6</v>
      </c>
      <c r="H24" s="208" t="s">
        <v>7</v>
      </c>
      <c r="I24" s="208" t="s">
        <v>8</v>
      </c>
      <c r="J24" s="208" t="s">
        <v>9</v>
      </c>
      <c r="L24" s="207" t="s">
        <v>30</v>
      </c>
      <c r="M24" s="208" t="s">
        <v>3</v>
      </c>
      <c r="N24" s="208" t="s">
        <v>4</v>
      </c>
      <c r="O24" s="208" t="s">
        <v>5</v>
      </c>
      <c r="P24" s="208" t="s">
        <v>6</v>
      </c>
      <c r="Q24" s="208" t="s">
        <v>7</v>
      </c>
      <c r="R24" s="208" t="s">
        <v>8</v>
      </c>
      <c r="S24" s="208" t="s">
        <v>9</v>
      </c>
    </row>
    <row r="25" spans="3:19" ht="60" hidden="1">
      <c r="C25" s="176" t="s">
        <v>10</v>
      </c>
      <c r="D25" s="204">
        <v>45143446.350000001</v>
      </c>
      <c r="E25" s="204">
        <v>46298750</v>
      </c>
      <c r="F25" s="211"/>
      <c r="G25" s="211"/>
      <c r="H25" s="211"/>
      <c r="I25" s="250" t="s">
        <v>23</v>
      </c>
      <c r="J25" s="204"/>
      <c r="L25" s="176" t="s">
        <v>10</v>
      </c>
      <c r="M25" s="211"/>
      <c r="N25" s="204">
        <v>416561500</v>
      </c>
      <c r="O25" s="211"/>
      <c r="P25" s="204">
        <v>322478034</v>
      </c>
      <c r="Q25" s="211"/>
      <c r="R25" s="216" t="s">
        <v>24</v>
      </c>
      <c r="S25" s="204"/>
    </row>
    <row r="26" spans="3:19" ht="120" hidden="1">
      <c r="C26" s="176" t="s">
        <v>15</v>
      </c>
      <c r="D26" s="204">
        <v>51558321</v>
      </c>
      <c r="E26" s="204">
        <v>53298252.380952403</v>
      </c>
      <c r="F26" s="211"/>
      <c r="G26" s="211"/>
      <c r="H26" s="211"/>
      <c r="I26" s="250" t="s">
        <v>25</v>
      </c>
      <c r="J26" s="204"/>
      <c r="L26" s="176" t="s">
        <v>15</v>
      </c>
      <c r="M26" s="211"/>
      <c r="N26" s="204">
        <v>289918200</v>
      </c>
      <c r="O26" s="211"/>
      <c r="P26" s="204">
        <v>235491398</v>
      </c>
      <c r="Q26" s="211"/>
      <c r="R26" s="216" t="s">
        <v>26</v>
      </c>
      <c r="S26" s="204"/>
    </row>
    <row r="27" spans="3:19" ht="75" hidden="1">
      <c r="C27" s="176" t="s">
        <v>17</v>
      </c>
      <c r="D27" s="204">
        <v>48861277.75</v>
      </c>
      <c r="E27" s="204">
        <v>51260100</v>
      </c>
      <c r="F27" s="211"/>
      <c r="G27" s="211"/>
      <c r="H27" s="211"/>
      <c r="I27" s="250" t="s">
        <v>27</v>
      </c>
      <c r="J27" s="204"/>
      <c r="L27" s="176" t="s">
        <v>17</v>
      </c>
      <c r="M27" s="211"/>
      <c r="N27" s="204">
        <v>286769366.66666698</v>
      </c>
      <c r="O27" s="211"/>
      <c r="P27" s="204">
        <v>233541398</v>
      </c>
      <c r="Q27" s="211"/>
      <c r="R27" s="216" t="s">
        <v>28</v>
      </c>
      <c r="S27" s="204"/>
    </row>
    <row r="28" spans="3:19" ht="30" hidden="1" customHeight="1">
      <c r="C28" s="176" t="s">
        <v>19</v>
      </c>
      <c r="D28" s="204">
        <f t="shared" ref="D28:J28" si="7">SUM(D25:D27)</f>
        <v>145563045.09999999</v>
      </c>
      <c r="E28" s="204">
        <f t="shared" si="7"/>
        <v>150857102.38095242</v>
      </c>
      <c r="F28" s="211"/>
      <c r="G28" s="211">
        <f t="shared" si="7"/>
        <v>0</v>
      </c>
      <c r="H28" s="211">
        <f t="shared" si="7"/>
        <v>0</v>
      </c>
      <c r="I28" s="204">
        <f t="shared" si="7"/>
        <v>0</v>
      </c>
      <c r="J28" s="204">
        <f t="shared" si="7"/>
        <v>0</v>
      </c>
      <c r="L28" s="176" t="s">
        <v>19</v>
      </c>
      <c r="M28" s="211">
        <f t="shared" ref="M28:S28" si="8">SUM(M25:M27)</f>
        <v>0</v>
      </c>
      <c r="N28" s="204">
        <f t="shared" si="8"/>
        <v>993249066.66666698</v>
      </c>
      <c r="O28" s="211">
        <f t="shared" si="8"/>
        <v>0</v>
      </c>
      <c r="P28" s="204">
        <f t="shared" si="8"/>
        <v>791510830</v>
      </c>
      <c r="Q28" s="211">
        <f t="shared" si="8"/>
        <v>0</v>
      </c>
      <c r="R28" s="204">
        <f t="shared" si="8"/>
        <v>0</v>
      </c>
      <c r="S28" s="204">
        <f t="shared" si="8"/>
        <v>0</v>
      </c>
    </row>
    <row r="29" spans="3:19" ht="30" hidden="1" customHeight="1">
      <c r="C29" s="176" t="s">
        <v>20</v>
      </c>
      <c r="D29" s="210">
        <f>AVERAGE(D25:D27)</f>
        <v>48521015.033333331</v>
      </c>
      <c r="E29" s="210">
        <f>AVERAGE(E25:E27)</f>
        <v>50285700.793650806</v>
      </c>
      <c r="F29" s="212"/>
      <c r="G29" s="212"/>
      <c r="H29" s="204"/>
      <c r="I29" s="204"/>
      <c r="J29" s="210">
        <f>+E29-D29</f>
        <v>1764685.7603174746</v>
      </c>
      <c r="L29" s="176" t="s">
        <v>20</v>
      </c>
      <c r="M29" s="204"/>
      <c r="N29" s="204">
        <f>AVERAGE(N25:N27)</f>
        <v>331083022.22222233</v>
      </c>
      <c r="O29" s="204"/>
      <c r="P29" s="210">
        <f>AVERAGE(P25:P27)</f>
        <v>263836943.33333334</v>
      </c>
      <c r="Q29" s="204"/>
      <c r="R29" s="204"/>
      <c r="S29" s="204">
        <f>+P29-M29</f>
        <v>263836943.33333334</v>
      </c>
    </row>
    <row r="30" spans="3:19" hidden="1"/>
    <row r="31" spans="3:19" ht="34.5" hidden="1" customHeight="1">
      <c r="C31" s="207" t="s">
        <v>31</v>
      </c>
      <c r="D31" s="208" t="s">
        <v>32</v>
      </c>
      <c r="E31" s="208" t="s">
        <v>4</v>
      </c>
      <c r="F31" s="208"/>
      <c r="G31" s="208" t="s">
        <v>6</v>
      </c>
      <c r="H31" s="208" t="s">
        <v>7</v>
      </c>
      <c r="I31" s="208" t="s">
        <v>8</v>
      </c>
      <c r="J31" s="208" t="s">
        <v>9</v>
      </c>
      <c r="L31" s="207" t="s">
        <v>33</v>
      </c>
      <c r="M31" s="208" t="s">
        <v>3</v>
      </c>
      <c r="N31" s="208" t="s">
        <v>4</v>
      </c>
      <c r="O31" s="208" t="s">
        <v>5</v>
      </c>
      <c r="P31" s="208" t="s">
        <v>6</v>
      </c>
      <c r="Q31" s="208" t="s">
        <v>7</v>
      </c>
      <c r="R31" s="208" t="s">
        <v>8</v>
      </c>
      <c r="S31" s="208" t="s">
        <v>9</v>
      </c>
    </row>
    <row r="32" spans="3:19" ht="34.5" hidden="1" customHeight="1">
      <c r="C32" s="176" t="s">
        <v>10</v>
      </c>
      <c r="D32" s="211"/>
      <c r="E32" s="204">
        <v>47837144.444444403</v>
      </c>
      <c r="F32" s="211"/>
      <c r="G32" s="211"/>
      <c r="H32" s="211"/>
      <c r="I32" s="285" t="s">
        <v>34</v>
      </c>
      <c r="J32" s="204"/>
      <c r="L32" s="176" t="s">
        <v>10</v>
      </c>
      <c r="M32" s="211"/>
      <c r="N32" s="204">
        <v>47998800</v>
      </c>
      <c r="O32" s="204">
        <v>39787550</v>
      </c>
      <c r="P32" s="204">
        <v>32400823.846153799</v>
      </c>
      <c r="Q32" s="204">
        <v>37692201</v>
      </c>
      <c r="R32" s="204"/>
      <c r="S32" s="204"/>
    </row>
    <row r="33" spans="2:19" ht="34.5" hidden="1" customHeight="1">
      <c r="C33" s="176" t="s">
        <v>15</v>
      </c>
      <c r="D33" s="211"/>
      <c r="E33" s="204">
        <v>52679761.538461603</v>
      </c>
      <c r="F33" s="211"/>
      <c r="G33" s="211"/>
      <c r="H33" s="211"/>
      <c r="I33" s="286"/>
      <c r="J33" s="204"/>
      <c r="L33" s="176" t="s">
        <v>15</v>
      </c>
      <c r="M33" s="211"/>
      <c r="N33" s="204">
        <v>52473500</v>
      </c>
      <c r="O33" s="204">
        <v>47142080</v>
      </c>
      <c r="P33" s="204">
        <v>37370924.545454502</v>
      </c>
      <c r="Q33" s="204">
        <v>41509129.5</v>
      </c>
      <c r="R33" s="204"/>
      <c r="S33" s="204"/>
    </row>
    <row r="34" spans="2:19" ht="34.5" hidden="1" customHeight="1">
      <c r="C34" s="176" t="s">
        <v>17</v>
      </c>
      <c r="D34" s="211"/>
      <c r="E34" s="204">
        <v>50569600</v>
      </c>
      <c r="F34" s="211"/>
      <c r="G34" s="211"/>
      <c r="H34" s="211"/>
      <c r="I34" s="287"/>
      <c r="J34" s="204"/>
      <c r="L34" s="176" t="s">
        <v>17</v>
      </c>
      <c r="M34" s="211"/>
      <c r="N34" s="204">
        <v>51028000</v>
      </c>
      <c r="O34" s="204">
        <v>44867260</v>
      </c>
      <c r="P34" s="204">
        <v>36015470</v>
      </c>
      <c r="Q34" s="204">
        <v>39358463</v>
      </c>
      <c r="R34" s="204"/>
      <c r="S34" s="204"/>
    </row>
    <row r="35" spans="2:19" ht="34.5" hidden="1" customHeight="1">
      <c r="C35" s="176" t="s">
        <v>19</v>
      </c>
      <c r="D35" s="211">
        <f t="shared" ref="D35:J35" si="9">SUM(D32:D34)</f>
        <v>0</v>
      </c>
      <c r="E35" s="204">
        <f t="shared" si="9"/>
        <v>151086505.98290601</v>
      </c>
      <c r="F35" s="211"/>
      <c r="G35" s="211">
        <f t="shared" si="9"/>
        <v>0</v>
      </c>
      <c r="H35" s="211">
        <f t="shared" si="9"/>
        <v>0</v>
      </c>
      <c r="I35" s="204">
        <f t="shared" si="9"/>
        <v>0</v>
      </c>
      <c r="J35" s="204">
        <f t="shared" si="9"/>
        <v>0</v>
      </c>
      <c r="L35" s="176" t="s">
        <v>19</v>
      </c>
      <c r="M35" s="211">
        <f t="shared" ref="M35:R35" si="10">SUM(M32:M34)</f>
        <v>0</v>
      </c>
      <c r="N35" s="204">
        <f t="shared" si="10"/>
        <v>151500300</v>
      </c>
      <c r="O35" s="204">
        <f t="shared" si="10"/>
        <v>131796890</v>
      </c>
      <c r="P35" s="204">
        <f t="shared" si="10"/>
        <v>105787218.3916083</v>
      </c>
      <c r="Q35" s="204">
        <f t="shared" si="10"/>
        <v>118559793.5</v>
      </c>
      <c r="R35" s="204">
        <f t="shared" si="10"/>
        <v>0</v>
      </c>
      <c r="S35" s="204"/>
    </row>
    <row r="36" spans="2:19" ht="34.5" hidden="1" customHeight="1">
      <c r="C36" s="176" t="s">
        <v>20</v>
      </c>
      <c r="D36" s="204"/>
      <c r="E36" s="210">
        <f>AVERAGE(E32:E34)</f>
        <v>50362168.660968669</v>
      </c>
      <c r="F36" s="204"/>
      <c r="G36" s="204"/>
      <c r="H36" s="204"/>
      <c r="I36" s="204"/>
      <c r="J36" s="204"/>
      <c r="L36" s="176" t="s">
        <v>20</v>
      </c>
      <c r="M36" s="204"/>
      <c r="N36" s="204">
        <f t="shared" ref="N36:Q36" si="11">AVERAGE(N32:N34)</f>
        <v>50500100</v>
      </c>
      <c r="O36" s="204">
        <f t="shared" si="11"/>
        <v>43932296.666666664</v>
      </c>
      <c r="P36" s="210">
        <f t="shared" si="11"/>
        <v>35262406.130536102</v>
      </c>
      <c r="Q36" s="204">
        <f t="shared" si="11"/>
        <v>39519931.166666664</v>
      </c>
      <c r="R36" s="204"/>
      <c r="S36" s="204">
        <f>+P36-M36</f>
        <v>35262406.130536102</v>
      </c>
    </row>
    <row r="37" spans="2:19" hidden="1"/>
    <row r="38" spans="2:19" ht="37.5" hidden="1" customHeight="1">
      <c r="C38" s="207" t="s">
        <v>35</v>
      </c>
      <c r="D38" s="208" t="s">
        <v>32</v>
      </c>
      <c r="E38" s="208" t="s">
        <v>4</v>
      </c>
      <c r="F38" s="208"/>
      <c r="G38" s="208" t="s">
        <v>6</v>
      </c>
      <c r="H38" s="208" t="s">
        <v>7</v>
      </c>
      <c r="I38" s="208" t="s">
        <v>8</v>
      </c>
      <c r="J38" s="208" t="s">
        <v>9</v>
      </c>
      <c r="L38" s="207" t="s">
        <v>36</v>
      </c>
      <c r="M38" s="208" t="s">
        <v>3</v>
      </c>
      <c r="N38" s="208" t="s">
        <v>4</v>
      </c>
      <c r="O38" s="208" t="s">
        <v>5</v>
      </c>
      <c r="P38" s="208" t="s">
        <v>6</v>
      </c>
      <c r="Q38" s="208" t="s">
        <v>7</v>
      </c>
      <c r="R38" s="208" t="s">
        <v>8</v>
      </c>
      <c r="S38" s="208" t="s">
        <v>9</v>
      </c>
    </row>
    <row r="39" spans="2:19" ht="37.5" hidden="1" customHeight="1">
      <c r="C39" s="176" t="s">
        <v>10</v>
      </c>
      <c r="D39" s="211"/>
      <c r="E39" s="204">
        <v>44779033.333333299</v>
      </c>
      <c r="F39" s="211"/>
      <c r="G39" s="204">
        <v>43140634.306172803</v>
      </c>
      <c r="H39" s="211"/>
      <c r="I39" s="288" t="s">
        <v>37</v>
      </c>
      <c r="J39" s="204"/>
      <c r="L39" s="176" t="s">
        <v>10</v>
      </c>
      <c r="M39" s="211"/>
      <c r="N39" s="204">
        <v>48954800</v>
      </c>
      <c r="O39" s="211"/>
      <c r="P39" s="211"/>
      <c r="Q39" s="211"/>
      <c r="R39" s="204"/>
      <c r="S39" s="204"/>
    </row>
    <row r="40" spans="2:19" ht="37.5" hidden="1" customHeight="1">
      <c r="C40" s="176" t="s">
        <v>15</v>
      </c>
      <c r="D40" s="211"/>
      <c r="E40" s="204">
        <v>49604300</v>
      </c>
      <c r="F40" s="211"/>
      <c r="G40" s="204">
        <v>48544446.959259301</v>
      </c>
      <c r="H40" s="211"/>
      <c r="I40" s="289"/>
      <c r="J40" s="204"/>
      <c r="L40" s="176" t="s">
        <v>15</v>
      </c>
      <c r="M40" s="211"/>
      <c r="N40" s="204">
        <v>53734500</v>
      </c>
      <c r="O40" s="211"/>
      <c r="P40" s="211"/>
      <c r="Q40" s="211"/>
      <c r="R40" s="204"/>
      <c r="S40" s="204"/>
    </row>
    <row r="41" spans="2:19" ht="37.5" hidden="1" customHeight="1">
      <c r="C41" s="176" t="s">
        <v>17</v>
      </c>
      <c r="D41" s="211"/>
      <c r="E41" s="204">
        <v>47565933.333333299</v>
      </c>
      <c r="F41" s="211"/>
      <c r="G41" s="204">
        <v>46842024.918518499</v>
      </c>
      <c r="H41" s="211"/>
      <c r="I41" s="290"/>
      <c r="J41" s="204"/>
      <c r="L41" s="176" t="s">
        <v>17</v>
      </c>
      <c r="M41" s="211"/>
      <c r="N41" s="204">
        <v>52290000</v>
      </c>
      <c r="O41" s="211"/>
      <c r="P41" s="211"/>
      <c r="Q41" s="211"/>
      <c r="R41" s="204"/>
      <c r="S41" s="204"/>
    </row>
    <row r="42" spans="2:19" ht="37.5" hidden="1" customHeight="1">
      <c r="C42" s="176" t="s">
        <v>19</v>
      </c>
      <c r="D42" s="211">
        <f t="shared" ref="D42:J42" si="12">SUM(D39:D41)</f>
        <v>0</v>
      </c>
      <c r="E42" s="204">
        <f t="shared" si="12"/>
        <v>141949266.6666666</v>
      </c>
      <c r="F42" s="211"/>
      <c r="G42" s="204">
        <f t="shared" si="12"/>
        <v>138527106.1839506</v>
      </c>
      <c r="H42" s="211">
        <f t="shared" si="12"/>
        <v>0</v>
      </c>
      <c r="I42" s="204">
        <f t="shared" si="12"/>
        <v>0</v>
      </c>
      <c r="J42" s="204">
        <f t="shared" si="12"/>
        <v>0</v>
      </c>
      <c r="L42" s="176" t="s">
        <v>19</v>
      </c>
      <c r="M42" s="211">
        <f t="shared" ref="M42:S42" si="13">SUM(M39:M41)</f>
        <v>0</v>
      </c>
      <c r="N42" s="204">
        <f t="shared" si="13"/>
        <v>154979300</v>
      </c>
      <c r="O42" s="211">
        <f t="shared" si="13"/>
        <v>0</v>
      </c>
      <c r="P42" s="211">
        <f t="shared" si="13"/>
        <v>0</v>
      </c>
      <c r="Q42" s="211">
        <f t="shared" si="13"/>
        <v>0</v>
      </c>
      <c r="R42" s="204">
        <f t="shared" si="13"/>
        <v>0</v>
      </c>
      <c r="S42" s="204">
        <f t="shared" si="13"/>
        <v>0</v>
      </c>
    </row>
    <row r="43" spans="2:19" ht="37.5" hidden="1" customHeight="1">
      <c r="C43" s="176" t="s">
        <v>20</v>
      </c>
      <c r="D43" s="204"/>
      <c r="E43" s="210">
        <f>AVERAGE(E39:E41)</f>
        <v>47316422.222222202</v>
      </c>
      <c r="F43" s="204"/>
      <c r="G43" s="210">
        <f>AVERAGE(G39:G41)</f>
        <v>46175702.06131687</v>
      </c>
      <c r="H43" s="204"/>
      <c r="I43" s="204"/>
      <c r="J43" s="204"/>
      <c r="L43" s="176" t="s">
        <v>20</v>
      </c>
      <c r="M43" s="204"/>
      <c r="N43" s="210">
        <f>AVERAGE(N39:N41)</f>
        <v>51659766.666666664</v>
      </c>
      <c r="O43" s="204"/>
      <c r="P43" s="204"/>
      <c r="Q43" s="204"/>
      <c r="R43" s="204"/>
      <c r="S43" s="204">
        <f>+P43-M43</f>
        <v>0</v>
      </c>
    </row>
    <row r="44" spans="2:19" hidden="1"/>
    <row r="45" spans="2:19" hidden="1"/>
    <row r="48" spans="2:19" ht="24" customHeight="1">
      <c r="B48" s="275" t="s">
        <v>38</v>
      </c>
      <c r="C48" s="274" t="s">
        <v>39</v>
      </c>
      <c r="D48" s="274" t="s">
        <v>40</v>
      </c>
      <c r="E48" s="274" t="s">
        <v>41</v>
      </c>
      <c r="F48" s="268" t="s">
        <v>3</v>
      </c>
      <c r="G48" s="269"/>
      <c r="H48" s="268" t="s">
        <v>42</v>
      </c>
      <c r="I48" s="269"/>
      <c r="J48" s="274" t="s">
        <v>43</v>
      </c>
      <c r="K48" s="274" t="s">
        <v>8</v>
      </c>
      <c r="L48" s="274"/>
      <c r="M48" s="274"/>
    </row>
    <row r="49" spans="2:16" ht="24" customHeight="1">
      <c r="B49" s="275"/>
      <c r="C49" s="274"/>
      <c r="D49" s="274"/>
      <c r="E49" s="274"/>
      <c r="F49" s="3" t="s">
        <v>1</v>
      </c>
      <c r="G49" s="6" t="s">
        <v>44</v>
      </c>
      <c r="H49" s="6" t="s">
        <v>1</v>
      </c>
      <c r="I49" s="6" t="s">
        <v>44</v>
      </c>
      <c r="J49" s="274"/>
      <c r="K49" s="274"/>
      <c r="L49" s="274"/>
      <c r="M49" s="274"/>
    </row>
    <row r="50" spans="2:16" ht="38.25" customHeight="1">
      <c r="B50" s="176" t="s">
        <v>4</v>
      </c>
      <c r="C50" s="176" t="s">
        <v>45</v>
      </c>
      <c r="D50" s="176" t="s">
        <v>10</v>
      </c>
      <c r="E50" s="131">
        <v>1</v>
      </c>
      <c r="F50" s="202">
        <f>Lexus!E16</f>
        <v>85121795</v>
      </c>
      <c r="G50" s="202">
        <f t="shared" ref="G50:G53" si="14">+F50*E50</f>
        <v>85121795</v>
      </c>
      <c r="H50" s="202">
        <f>Lexus!N17</f>
        <v>148071400</v>
      </c>
      <c r="I50" s="202">
        <f>Lexus!H16</f>
        <v>76154200</v>
      </c>
      <c r="J50" s="212">
        <f t="shared" ref="J50:J53" si="15">+I50-G50</f>
        <v>-8967595</v>
      </c>
      <c r="K50" s="270" t="s">
        <v>46</v>
      </c>
      <c r="L50" s="271"/>
      <c r="M50" s="271"/>
    </row>
    <row r="51" spans="2:16" ht="31.5" customHeight="1">
      <c r="B51" s="276" t="s">
        <v>4</v>
      </c>
      <c r="C51" s="279" t="s">
        <v>47</v>
      </c>
      <c r="D51" s="176" t="s">
        <v>10</v>
      </c>
      <c r="E51" s="131">
        <v>1</v>
      </c>
      <c r="F51" s="202">
        <f>'Camry 2.5G'!E16</f>
        <v>42471157</v>
      </c>
      <c r="G51" s="202">
        <f t="shared" si="14"/>
        <v>42471157</v>
      </c>
      <c r="H51" s="202">
        <f>'Camry 2.5G'!E31</f>
        <v>40682600</v>
      </c>
      <c r="I51" s="202">
        <f t="shared" ref="I51:I53" si="16">+H51*E51</f>
        <v>40682600</v>
      </c>
      <c r="J51" s="212">
        <f t="shared" si="15"/>
        <v>-1788557</v>
      </c>
      <c r="K51" s="270" t="s">
        <v>14</v>
      </c>
      <c r="L51" s="271"/>
      <c r="M51" s="271"/>
    </row>
    <row r="52" spans="2:16" ht="31.5" customHeight="1">
      <c r="B52" s="277"/>
      <c r="C52" s="280"/>
      <c r="D52" s="176" t="s">
        <v>15</v>
      </c>
      <c r="E52" s="131">
        <v>1</v>
      </c>
      <c r="F52" s="202">
        <f>'Camry 2.5G'!H16</f>
        <v>45837757</v>
      </c>
      <c r="G52" s="202">
        <f t="shared" si="14"/>
        <v>45837757</v>
      </c>
      <c r="H52" s="202">
        <f>'Camry 2.5G'!H31</f>
        <v>45223800</v>
      </c>
      <c r="I52" s="202">
        <f t="shared" si="16"/>
        <v>45223800</v>
      </c>
      <c r="J52" s="212">
        <f t="shared" si="15"/>
        <v>-613957</v>
      </c>
      <c r="K52" s="270" t="s">
        <v>16</v>
      </c>
      <c r="L52" s="271"/>
      <c r="M52" s="271"/>
    </row>
    <row r="53" spans="2:16" ht="31.5" customHeight="1">
      <c r="B53" s="277"/>
      <c r="C53" s="280"/>
      <c r="D53" s="176" t="s">
        <v>17</v>
      </c>
      <c r="E53" s="131">
        <v>1</v>
      </c>
      <c r="F53" s="202">
        <f>'Camry 2.5G'!K16</f>
        <v>44133157</v>
      </c>
      <c r="G53" s="202">
        <f t="shared" si="14"/>
        <v>44133157</v>
      </c>
      <c r="H53" s="202">
        <f>'Camry 2.5G'!K31</f>
        <v>42965200</v>
      </c>
      <c r="I53" s="202">
        <f t="shared" si="16"/>
        <v>42965200</v>
      </c>
      <c r="J53" s="212">
        <f t="shared" si="15"/>
        <v>-1167957</v>
      </c>
      <c r="K53" s="271"/>
      <c r="L53" s="271"/>
      <c r="M53" s="271"/>
    </row>
    <row r="54" spans="2:16" ht="24" customHeight="1">
      <c r="B54" s="278"/>
      <c r="C54" s="281"/>
      <c r="D54" s="194" t="s">
        <v>48</v>
      </c>
      <c r="E54" s="178">
        <f t="shared" ref="E54:J54" si="17">SUM(E51:E53)</f>
        <v>3</v>
      </c>
      <c r="F54" s="214">
        <f t="shared" si="17"/>
        <v>132442071</v>
      </c>
      <c r="G54" s="214">
        <f t="shared" si="17"/>
        <v>132442071</v>
      </c>
      <c r="H54" s="214">
        <f t="shared" si="17"/>
        <v>128871600</v>
      </c>
      <c r="I54" s="214">
        <f t="shared" si="17"/>
        <v>128871600</v>
      </c>
      <c r="J54" s="217">
        <f t="shared" si="17"/>
        <v>-3570471</v>
      </c>
      <c r="K54" s="271"/>
      <c r="L54" s="271"/>
      <c r="M54" s="271"/>
    </row>
    <row r="55" spans="2:16" ht="31.5" customHeight="1">
      <c r="B55" s="279" t="s">
        <v>6</v>
      </c>
      <c r="C55" s="279" t="s">
        <v>47</v>
      </c>
      <c r="D55" s="176" t="s">
        <v>10</v>
      </c>
      <c r="E55" s="131">
        <v>1</v>
      </c>
      <c r="F55" s="202">
        <f>F51</f>
        <v>42471157</v>
      </c>
      <c r="G55" s="202">
        <f t="shared" ref="G55:G57" si="18">+F55*E55</f>
        <v>42471157</v>
      </c>
      <c r="H55" s="202">
        <f>'Camry 2.5G'!E60</f>
        <v>33197822</v>
      </c>
      <c r="I55" s="202">
        <f t="shared" ref="I55:I57" si="19">+H55*E55</f>
        <v>33197822</v>
      </c>
      <c r="J55" s="212">
        <f t="shared" ref="J55:J57" si="20">+I55-G55</f>
        <v>-9273335</v>
      </c>
      <c r="K55" s="270" t="s">
        <v>14</v>
      </c>
      <c r="L55" s="271"/>
      <c r="M55" s="271"/>
    </row>
    <row r="56" spans="2:16" ht="31.5" customHeight="1">
      <c r="B56" s="280"/>
      <c r="C56" s="280"/>
      <c r="D56" s="176" t="s">
        <v>15</v>
      </c>
      <c r="E56" s="131">
        <v>1</v>
      </c>
      <c r="F56" s="202">
        <f>F52</f>
        <v>45837757</v>
      </c>
      <c r="G56" s="202">
        <f t="shared" si="18"/>
        <v>45837757</v>
      </c>
      <c r="H56" s="202">
        <f>'Camry 2.5G'!H60</f>
        <v>38273422</v>
      </c>
      <c r="I56" s="202">
        <f t="shared" si="19"/>
        <v>38273422</v>
      </c>
      <c r="J56" s="212">
        <f t="shared" si="20"/>
        <v>-7564335</v>
      </c>
      <c r="K56" s="270" t="s">
        <v>16</v>
      </c>
      <c r="L56" s="271"/>
      <c r="M56" s="271"/>
    </row>
    <row r="57" spans="2:16" ht="31.5" customHeight="1">
      <c r="B57" s="280"/>
      <c r="C57" s="280"/>
      <c r="D57" s="176" t="s">
        <v>17</v>
      </c>
      <c r="E57" s="131">
        <v>1</v>
      </c>
      <c r="F57" s="202">
        <f>F53</f>
        <v>44133157</v>
      </c>
      <c r="G57" s="202">
        <f t="shared" si="18"/>
        <v>44133157</v>
      </c>
      <c r="H57" s="202">
        <f>'Camry 2.5G'!K60</f>
        <v>35764522</v>
      </c>
      <c r="I57" s="202">
        <f t="shared" si="19"/>
        <v>35764522</v>
      </c>
      <c r="J57" s="212">
        <f t="shared" si="20"/>
        <v>-8368635</v>
      </c>
      <c r="K57" s="271"/>
      <c r="L57" s="271"/>
      <c r="M57" s="271"/>
    </row>
    <row r="58" spans="2:16" ht="31.5" customHeight="1">
      <c r="B58" s="281"/>
      <c r="C58" s="281"/>
      <c r="D58" s="194" t="s">
        <v>48</v>
      </c>
      <c r="E58" s="178">
        <f t="shared" ref="E58:J58" si="21">SUM(E55:E57)</f>
        <v>3</v>
      </c>
      <c r="F58" s="214">
        <f t="shared" si="21"/>
        <v>132442071</v>
      </c>
      <c r="G58" s="214">
        <f t="shared" si="21"/>
        <v>132442071</v>
      </c>
      <c r="H58" s="214">
        <f t="shared" si="21"/>
        <v>107235766</v>
      </c>
      <c r="I58" s="214">
        <f t="shared" si="21"/>
        <v>107235766</v>
      </c>
      <c r="J58" s="217">
        <f t="shared" si="21"/>
        <v>-25206305</v>
      </c>
      <c r="K58" s="272" t="s">
        <v>49</v>
      </c>
      <c r="L58" s="273"/>
      <c r="M58" s="273"/>
      <c r="N58" s="21">
        <f>J54-J58</f>
        <v>21635834</v>
      </c>
    </row>
    <row r="59" spans="2:16" ht="27" customHeight="1">
      <c r="B59" s="279" t="s">
        <v>6</v>
      </c>
      <c r="C59" s="279" t="s">
        <v>50</v>
      </c>
      <c r="D59" s="176" t="s">
        <v>10</v>
      </c>
      <c r="E59" s="131">
        <v>11</v>
      </c>
      <c r="F59" s="202">
        <f t="shared" ref="F59:F63" si="22">+G59/E59</f>
        <v>31078772.727272727</v>
      </c>
      <c r="G59" s="202">
        <f>'Innova '!E16</f>
        <v>341866500</v>
      </c>
      <c r="H59" s="202">
        <f t="shared" ref="H59:H63" si="23">+I59/E59</f>
        <v>30564345.272727273</v>
      </c>
      <c r="I59" s="202">
        <f>'Innova '!T78</f>
        <v>336207798</v>
      </c>
      <c r="J59" s="212">
        <f t="shared" ref="J59:J63" si="24">+I59-G59</f>
        <v>-5658702</v>
      </c>
      <c r="K59" s="270" t="s">
        <v>24</v>
      </c>
      <c r="L59" s="271"/>
      <c r="M59" s="271"/>
      <c r="N59" s="133">
        <f>N58/23000</f>
        <v>940.68843478260874</v>
      </c>
      <c r="O59">
        <f t="shared" ref="O59:O62" si="25">+F59/4000</f>
        <v>7769.693181818182</v>
      </c>
      <c r="P59">
        <f t="shared" ref="P59:P62" si="26">+H59/4300</f>
        <v>7107.9872727272732</v>
      </c>
    </row>
    <row r="60" spans="2:16" ht="28.5" customHeight="1">
      <c r="B60" s="280"/>
      <c r="C60" s="280"/>
      <c r="D60" s="176" t="s">
        <v>15</v>
      </c>
      <c r="E60" s="131">
        <v>7</v>
      </c>
      <c r="F60" s="202">
        <f t="shared" si="22"/>
        <v>31942000</v>
      </c>
      <c r="G60" s="202">
        <f>'Innova '!H16</f>
        <v>223594000</v>
      </c>
      <c r="H60" s="202">
        <f t="shared" si="23"/>
        <v>34883295.142857142</v>
      </c>
      <c r="I60" s="202">
        <f>'Innova '!W78</f>
        <v>244183066</v>
      </c>
      <c r="J60" s="212">
        <f t="shared" si="24"/>
        <v>20589066</v>
      </c>
      <c r="K60" s="291" t="s">
        <v>135</v>
      </c>
      <c r="L60" s="292"/>
      <c r="M60" s="293"/>
      <c r="N60" s="22" t="s">
        <v>52</v>
      </c>
      <c r="O60">
        <f t="shared" si="25"/>
        <v>7985.5</v>
      </c>
      <c r="P60">
        <f t="shared" si="26"/>
        <v>8112.3942192691029</v>
      </c>
    </row>
    <row r="61" spans="2:16" ht="28.5" customHeight="1">
      <c r="B61" s="280"/>
      <c r="C61" s="280"/>
      <c r="D61" s="215" t="s">
        <v>17</v>
      </c>
      <c r="E61" s="131">
        <v>1</v>
      </c>
      <c r="F61" s="202">
        <f t="shared" si="22"/>
        <v>44789186</v>
      </c>
      <c r="G61" s="202">
        <f>'Innova '!E32</f>
        <v>44789186</v>
      </c>
      <c r="H61" s="202">
        <f t="shared" si="23"/>
        <v>35320438</v>
      </c>
      <c r="I61" s="202">
        <f>'Innova '!H32</f>
        <v>35320438</v>
      </c>
      <c r="J61" s="212">
        <f t="shared" si="24"/>
        <v>-9468748</v>
      </c>
      <c r="K61" s="294"/>
      <c r="L61" s="295"/>
      <c r="M61" s="296"/>
      <c r="N61" s="22"/>
      <c r="O61">
        <f t="shared" si="25"/>
        <v>11197.2965</v>
      </c>
      <c r="P61">
        <f t="shared" si="26"/>
        <v>8214.0553488372097</v>
      </c>
    </row>
    <row r="62" spans="2:16" ht="28.5" customHeight="1">
      <c r="B62" s="280"/>
      <c r="C62" s="281"/>
      <c r="D62" s="176" t="s">
        <v>17</v>
      </c>
      <c r="E62" s="131">
        <v>7</v>
      </c>
      <c r="F62" s="202">
        <f t="shared" si="22"/>
        <v>31579357.142857142</v>
      </c>
      <c r="G62" s="202">
        <f>'Innova '!K16</f>
        <v>221055500</v>
      </c>
      <c r="H62" s="202">
        <f t="shared" si="23"/>
        <v>34611866.571428575</v>
      </c>
      <c r="I62" s="202">
        <f>'Innova '!Z78</f>
        <v>242283066</v>
      </c>
      <c r="J62" s="212">
        <f t="shared" si="24"/>
        <v>21227566</v>
      </c>
      <c r="K62" s="297"/>
      <c r="L62" s="298"/>
      <c r="M62" s="299"/>
      <c r="O62">
        <f t="shared" si="25"/>
        <v>7894.8392857142853</v>
      </c>
      <c r="P62">
        <f t="shared" si="26"/>
        <v>8049.2712956810637</v>
      </c>
    </row>
    <row r="63" spans="2:16" ht="37.5" customHeight="1">
      <c r="B63" s="280"/>
      <c r="C63" s="162" t="s">
        <v>53</v>
      </c>
      <c r="D63" s="176" t="s">
        <v>15</v>
      </c>
      <c r="E63" s="131">
        <v>1</v>
      </c>
      <c r="F63" s="202">
        <f t="shared" si="22"/>
        <v>44977000</v>
      </c>
      <c r="G63" s="202">
        <f>'Innova '!N16</f>
        <v>44977000</v>
      </c>
      <c r="H63" s="202">
        <f t="shared" si="23"/>
        <v>41645677.777777798</v>
      </c>
      <c r="I63" s="202">
        <f>'Innova '!AC78</f>
        <v>41645677.777777798</v>
      </c>
      <c r="J63" s="212">
        <f t="shared" si="24"/>
        <v>-3331322.2222222015</v>
      </c>
      <c r="K63" s="270" t="s">
        <v>54</v>
      </c>
      <c r="L63" s="271"/>
      <c r="M63" s="271"/>
      <c r="O63">
        <f>+F63/2600</f>
        <v>17298.846153846152</v>
      </c>
      <c r="P63">
        <f>+H63/4500</f>
        <v>9254.5950617283997</v>
      </c>
    </row>
    <row r="64" spans="2:16" ht="25.5" customHeight="1">
      <c r="B64" s="281"/>
      <c r="C64" s="213"/>
      <c r="D64" s="194" t="s">
        <v>48</v>
      </c>
      <c r="E64" s="178">
        <f t="shared" ref="E64:J64" si="27">SUM(E59:E63)</f>
        <v>27</v>
      </c>
      <c r="F64" s="214">
        <f t="shared" si="27"/>
        <v>184366315.87012985</v>
      </c>
      <c r="G64" s="214">
        <f t="shared" si="27"/>
        <v>876282186</v>
      </c>
      <c r="H64" s="214">
        <f t="shared" si="27"/>
        <v>177025622.76479077</v>
      </c>
      <c r="I64" s="214">
        <f t="shared" si="27"/>
        <v>899640045.77777779</v>
      </c>
      <c r="J64" s="217">
        <f t="shared" si="27"/>
        <v>23357859.777777798</v>
      </c>
      <c r="K64" s="272" t="s">
        <v>55</v>
      </c>
      <c r="L64" s="273"/>
      <c r="M64" s="273"/>
      <c r="O64" s="21"/>
    </row>
    <row r="65" spans="2:15" ht="27" customHeight="1">
      <c r="B65" s="279" t="s">
        <v>5</v>
      </c>
      <c r="C65" s="279" t="s">
        <v>50</v>
      </c>
      <c r="D65" s="176" t="s">
        <v>10</v>
      </c>
      <c r="E65" s="131">
        <v>11</v>
      </c>
      <c r="F65" s="202">
        <f t="shared" ref="F65:F69" si="28">+G65/E65</f>
        <v>31078772.727272727</v>
      </c>
      <c r="G65" s="202">
        <f>G59</f>
        <v>341866500</v>
      </c>
      <c r="H65" s="202">
        <f t="shared" ref="H65:H69" si="29">+I65/E65</f>
        <v>35651556.363636367</v>
      </c>
      <c r="I65" s="202">
        <f>'Innova '!T62</f>
        <v>392167120</v>
      </c>
      <c r="J65" s="212">
        <f t="shared" ref="J65:J69" si="30">+I65-G65</f>
        <v>50300620</v>
      </c>
      <c r="K65" s="270" t="s">
        <v>24</v>
      </c>
      <c r="L65" s="271"/>
      <c r="M65" s="271"/>
    </row>
    <row r="66" spans="2:15" ht="28.5" customHeight="1">
      <c r="B66" s="280"/>
      <c r="C66" s="280"/>
      <c r="D66" s="176" t="s">
        <v>15</v>
      </c>
      <c r="E66" s="131">
        <v>7</v>
      </c>
      <c r="F66" s="202">
        <f t="shared" si="28"/>
        <v>31942000</v>
      </c>
      <c r="G66" s="202">
        <f>G60</f>
        <v>223594000</v>
      </c>
      <c r="H66" s="202">
        <f t="shared" si="29"/>
        <v>39540508.571428575</v>
      </c>
      <c r="I66" s="202">
        <f>'Innova '!W62</f>
        <v>276783560</v>
      </c>
      <c r="J66" s="212">
        <f t="shared" si="30"/>
        <v>53189560</v>
      </c>
      <c r="K66" s="291" t="s">
        <v>135</v>
      </c>
      <c r="L66" s="292"/>
      <c r="M66" s="293"/>
      <c r="N66" s="22" t="s">
        <v>52</v>
      </c>
    </row>
    <row r="67" spans="2:15" ht="28.5" customHeight="1">
      <c r="B67" s="280"/>
      <c r="C67" s="280"/>
      <c r="D67" s="176" t="s">
        <v>17</v>
      </c>
      <c r="E67" s="131">
        <v>1</v>
      </c>
      <c r="F67" s="202">
        <f>+F61</f>
        <v>44789186</v>
      </c>
      <c r="G67" s="202">
        <f>G61</f>
        <v>44789186</v>
      </c>
      <c r="H67" s="202">
        <f t="shared" si="29"/>
        <v>38479080</v>
      </c>
      <c r="I67" s="202">
        <f>'Innova '!K32</f>
        <v>38479080</v>
      </c>
      <c r="J67" s="212">
        <f t="shared" si="30"/>
        <v>-6310106</v>
      </c>
      <c r="K67" s="294"/>
      <c r="L67" s="295"/>
      <c r="M67" s="296"/>
      <c r="N67" s="22"/>
    </row>
    <row r="68" spans="2:15" ht="28.5" customHeight="1">
      <c r="B68" s="280"/>
      <c r="C68" s="281"/>
      <c r="D68" s="176" t="s">
        <v>17</v>
      </c>
      <c r="E68" s="131">
        <v>7</v>
      </c>
      <c r="F68" s="202">
        <f t="shared" si="28"/>
        <v>31579357.142857142</v>
      </c>
      <c r="G68" s="202">
        <f>G62</f>
        <v>221055500</v>
      </c>
      <c r="H68" s="202">
        <f t="shared" si="29"/>
        <v>39195270.47619047</v>
      </c>
      <c r="I68" s="202">
        <f>'Innova '!Z62</f>
        <v>274366893.33333331</v>
      </c>
      <c r="J68" s="212">
        <f t="shared" si="30"/>
        <v>53311393.333333313</v>
      </c>
      <c r="K68" s="297"/>
      <c r="L68" s="298"/>
      <c r="M68" s="299"/>
    </row>
    <row r="69" spans="2:15" ht="37.5" customHeight="1">
      <c r="B69" s="280"/>
      <c r="C69" s="162" t="s">
        <v>53</v>
      </c>
      <c r="D69" s="176" t="s">
        <v>15</v>
      </c>
      <c r="E69" s="131">
        <v>1</v>
      </c>
      <c r="F69" s="202">
        <f t="shared" si="28"/>
        <v>44977000</v>
      </c>
      <c r="G69" s="202">
        <f>G63</f>
        <v>44977000</v>
      </c>
      <c r="H69" s="202">
        <f t="shared" si="29"/>
        <v>47240200</v>
      </c>
      <c r="I69" s="202">
        <f>'Innova '!AC62</f>
        <v>47240200</v>
      </c>
      <c r="J69" s="212">
        <f t="shared" si="30"/>
        <v>2263200</v>
      </c>
      <c r="K69" s="270" t="s">
        <v>54</v>
      </c>
      <c r="L69" s="271"/>
      <c r="M69" s="271"/>
    </row>
    <row r="70" spans="2:15" ht="26.25" customHeight="1">
      <c r="B70" s="281"/>
      <c r="C70" s="213"/>
      <c r="D70" s="194" t="s">
        <v>48</v>
      </c>
      <c r="E70" s="178">
        <f t="shared" ref="E70:J70" si="31">SUM(E65:E69)</f>
        <v>27</v>
      </c>
      <c r="F70" s="214">
        <f t="shared" si="31"/>
        <v>184366315.87012985</v>
      </c>
      <c r="G70" s="214">
        <f t="shared" si="31"/>
        <v>876282186</v>
      </c>
      <c r="H70" s="214">
        <f t="shared" si="31"/>
        <v>200106615.41125542</v>
      </c>
      <c r="I70" s="214">
        <f t="shared" si="31"/>
        <v>1029036853.3333333</v>
      </c>
      <c r="J70" s="217">
        <f t="shared" si="31"/>
        <v>152754667.33333331</v>
      </c>
      <c r="K70" s="272" t="s">
        <v>57</v>
      </c>
      <c r="L70" s="273"/>
      <c r="M70" s="273"/>
      <c r="O70" s="21"/>
    </row>
    <row r="71" spans="2:15" ht="27" customHeight="1">
      <c r="B71" s="279" t="s">
        <v>7</v>
      </c>
      <c r="C71" s="279" t="s">
        <v>50</v>
      </c>
      <c r="D71" s="176" t="s">
        <v>10</v>
      </c>
      <c r="E71" s="131">
        <v>11</v>
      </c>
      <c r="F71" s="202">
        <f t="shared" ref="F71:F75" si="32">+G71/E71</f>
        <v>31078772.727272727</v>
      </c>
      <c r="G71" s="202">
        <f>G65</f>
        <v>341866500</v>
      </c>
      <c r="H71" s="202">
        <f t="shared" ref="H71:H75" si="33">+I71/E71</f>
        <v>35291037.909090906</v>
      </c>
      <c r="I71" s="202">
        <f>'Innova '!T99</f>
        <v>388201417</v>
      </c>
      <c r="J71" s="212">
        <f t="shared" ref="J71:J75" si="34">+I71-G71</f>
        <v>46334917</v>
      </c>
      <c r="K71" s="270" t="s">
        <v>24</v>
      </c>
      <c r="L71" s="271"/>
      <c r="M71" s="271"/>
    </row>
    <row r="72" spans="2:15" ht="28.5" customHeight="1">
      <c r="B72" s="280"/>
      <c r="C72" s="280"/>
      <c r="D72" s="176" t="s">
        <v>15</v>
      </c>
      <c r="E72" s="131">
        <v>7</v>
      </c>
      <c r="F72" s="202">
        <f t="shared" si="32"/>
        <v>31942000</v>
      </c>
      <c r="G72" s="202">
        <f>G66</f>
        <v>223594000</v>
      </c>
      <c r="H72" s="202">
        <f t="shared" si="33"/>
        <v>38196335.142857142</v>
      </c>
      <c r="I72" s="202">
        <f>'Innova '!W99</f>
        <v>267374346</v>
      </c>
      <c r="J72" s="212">
        <f t="shared" si="34"/>
        <v>43780346</v>
      </c>
      <c r="K72" s="291" t="s">
        <v>135</v>
      </c>
      <c r="L72" s="292"/>
      <c r="M72" s="293"/>
      <c r="N72" s="22" t="s">
        <v>52</v>
      </c>
    </row>
    <row r="73" spans="2:15" ht="28.5" customHeight="1">
      <c r="B73" s="280"/>
      <c r="C73" s="280"/>
      <c r="D73" s="176" t="s">
        <v>17</v>
      </c>
      <c r="E73" s="131">
        <v>1</v>
      </c>
      <c r="F73" s="202">
        <f>+F61</f>
        <v>44789186</v>
      </c>
      <c r="G73" s="202">
        <f>G67</f>
        <v>44789186</v>
      </c>
      <c r="H73" s="202">
        <f t="shared" si="33"/>
        <v>265482679.33333334</v>
      </c>
      <c r="I73" s="202">
        <f>'Innova '!Z99</f>
        <v>265482679.33333334</v>
      </c>
      <c r="J73" s="212">
        <f t="shared" si="34"/>
        <v>220693493.33333334</v>
      </c>
      <c r="K73" s="294"/>
      <c r="L73" s="295"/>
      <c r="M73" s="296"/>
      <c r="N73" s="22"/>
    </row>
    <row r="74" spans="2:15" ht="28.5" customHeight="1">
      <c r="B74" s="280"/>
      <c r="C74" s="281"/>
      <c r="D74" s="176" t="s">
        <v>17</v>
      </c>
      <c r="E74" s="131">
        <v>7</v>
      </c>
      <c r="F74" s="202">
        <f t="shared" si="32"/>
        <v>31579357.142857142</v>
      </c>
      <c r="G74" s="202">
        <f>G68</f>
        <v>221055500</v>
      </c>
      <c r="H74" s="202">
        <f t="shared" si="33"/>
        <v>5516925.4285714282</v>
      </c>
      <c r="I74" s="202">
        <f>'Innova '!N32</f>
        <v>38618478</v>
      </c>
      <c r="J74" s="212">
        <f t="shared" si="34"/>
        <v>-182437022</v>
      </c>
      <c r="K74" s="297"/>
      <c r="L74" s="298"/>
      <c r="M74" s="299"/>
    </row>
    <row r="75" spans="2:15" ht="37.5" customHeight="1">
      <c r="B75" s="280"/>
      <c r="C75" s="162" t="s">
        <v>53</v>
      </c>
      <c r="D75" s="176" t="s">
        <v>15</v>
      </c>
      <c r="E75" s="131">
        <v>1</v>
      </c>
      <c r="F75" s="202">
        <f t="shared" si="32"/>
        <v>44977000</v>
      </c>
      <c r="G75" s="202">
        <f>G69</f>
        <v>44977000</v>
      </c>
      <c r="H75" s="202">
        <f t="shared" si="33"/>
        <v>43909973</v>
      </c>
      <c r="I75" s="202">
        <f>'Innova '!AC99</f>
        <v>43909973</v>
      </c>
      <c r="J75" s="212">
        <f t="shared" si="34"/>
        <v>-1067027</v>
      </c>
      <c r="K75" s="270" t="s">
        <v>54</v>
      </c>
      <c r="L75" s="271"/>
      <c r="M75" s="271"/>
    </row>
    <row r="76" spans="2:15" ht="25.5" customHeight="1">
      <c r="B76" s="281"/>
      <c r="C76" s="213"/>
      <c r="D76" s="194" t="s">
        <v>48</v>
      </c>
      <c r="E76" s="178">
        <f t="shared" ref="E76:J76" si="35">SUM(E71:E75)</f>
        <v>27</v>
      </c>
      <c r="F76" s="214">
        <f t="shared" si="35"/>
        <v>184366315.87012985</v>
      </c>
      <c r="G76" s="214">
        <f t="shared" si="35"/>
        <v>876282186</v>
      </c>
      <c r="H76" s="214">
        <f t="shared" si="35"/>
        <v>388396950.81385279</v>
      </c>
      <c r="I76" s="214">
        <f t="shared" si="35"/>
        <v>1003586893.3333334</v>
      </c>
      <c r="J76" s="217">
        <f t="shared" si="35"/>
        <v>127304707.33333337</v>
      </c>
      <c r="K76" s="272" t="s">
        <v>56</v>
      </c>
      <c r="L76" s="273"/>
      <c r="M76" s="273"/>
      <c r="O76" s="21"/>
    </row>
    <row r="77" spans="2:15" ht="27" customHeight="1">
      <c r="B77" s="279" t="s">
        <v>6</v>
      </c>
      <c r="C77" s="279" t="s">
        <v>58</v>
      </c>
      <c r="D77" s="176" t="s">
        <v>10</v>
      </c>
      <c r="E77" s="131">
        <v>11</v>
      </c>
      <c r="F77" s="202">
        <f t="shared" ref="F77:F81" si="36">+G77/E77</f>
        <v>0</v>
      </c>
      <c r="G77" s="202"/>
      <c r="H77" s="202">
        <f t="shared" ref="H77:H81" si="37">+I77/E77</f>
        <v>29316184.90909091</v>
      </c>
      <c r="I77" s="202">
        <f>Xpander!T59</f>
        <v>322478034</v>
      </c>
      <c r="J77" s="212">
        <f t="shared" ref="J77:J81" si="38">+I77-G77</f>
        <v>322478034</v>
      </c>
      <c r="K77" s="270" t="s">
        <v>24</v>
      </c>
      <c r="L77" s="271"/>
      <c r="M77" s="271"/>
    </row>
    <row r="78" spans="2:15" ht="28.5" customHeight="1">
      <c r="B78" s="280"/>
      <c r="C78" s="280"/>
      <c r="D78" s="176" t="s">
        <v>15</v>
      </c>
      <c r="E78" s="131">
        <v>7</v>
      </c>
      <c r="F78" s="202">
        <f t="shared" si="36"/>
        <v>0</v>
      </c>
      <c r="G78" s="202"/>
      <c r="H78" s="202">
        <f t="shared" si="37"/>
        <v>33641628.285714284</v>
      </c>
      <c r="I78" s="202">
        <f>Xpander!W59</f>
        <v>235491398</v>
      </c>
      <c r="J78" s="212">
        <f t="shared" si="38"/>
        <v>235491398</v>
      </c>
      <c r="K78" s="291" t="s">
        <v>135</v>
      </c>
      <c r="L78" s="292"/>
      <c r="M78" s="293"/>
      <c r="N78" s="22" t="s">
        <v>52</v>
      </c>
    </row>
    <row r="79" spans="2:15" ht="28.5" customHeight="1">
      <c r="B79" s="280"/>
      <c r="C79" s="280"/>
      <c r="D79" s="176" t="s">
        <v>17</v>
      </c>
      <c r="E79" s="131">
        <v>1</v>
      </c>
      <c r="F79" s="202">
        <f t="shared" si="36"/>
        <v>0</v>
      </c>
      <c r="G79" s="202"/>
      <c r="H79" s="202">
        <f t="shared" si="37"/>
        <v>34060914</v>
      </c>
      <c r="I79" s="202">
        <f>Xpander!AF59</f>
        <v>34060914</v>
      </c>
      <c r="J79" s="212">
        <f t="shared" si="38"/>
        <v>34060914</v>
      </c>
      <c r="K79" s="294"/>
      <c r="L79" s="295"/>
      <c r="M79" s="296"/>
      <c r="N79" s="22"/>
    </row>
    <row r="80" spans="2:15" ht="28.5" customHeight="1">
      <c r="B80" s="280"/>
      <c r="C80" s="281"/>
      <c r="D80" s="176" t="s">
        <v>17</v>
      </c>
      <c r="E80" s="131">
        <v>7</v>
      </c>
      <c r="F80" s="202">
        <f t="shared" si="36"/>
        <v>0</v>
      </c>
      <c r="G80" s="202"/>
      <c r="H80" s="202">
        <f t="shared" si="37"/>
        <v>33363056.857142854</v>
      </c>
      <c r="I80" s="202">
        <f>Xpander!Z59</f>
        <v>233541397.99999997</v>
      </c>
      <c r="J80" s="212">
        <f t="shared" si="38"/>
        <v>233541397.99999997</v>
      </c>
      <c r="K80" s="297"/>
      <c r="L80" s="298"/>
      <c r="M80" s="299"/>
    </row>
    <row r="81" spans="2:15" ht="37.5" customHeight="1">
      <c r="B81" s="280"/>
      <c r="C81" s="162" t="s">
        <v>59</v>
      </c>
      <c r="D81" s="176" t="s">
        <v>15</v>
      </c>
      <c r="E81" s="131">
        <v>1</v>
      </c>
      <c r="F81" s="202">
        <f t="shared" si="36"/>
        <v>0</v>
      </c>
      <c r="G81" s="202"/>
      <c r="H81" s="202">
        <f t="shared" si="37"/>
        <v>40261153.968254</v>
      </c>
      <c r="I81" s="202">
        <f>Xpander!AC59</f>
        <v>40261153.968254</v>
      </c>
      <c r="J81" s="212">
        <f t="shared" si="38"/>
        <v>40261153.968254</v>
      </c>
      <c r="K81" s="270" t="s">
        <v>54</v>
      </c>
      <c r="L81" s="271"/>
      <c r="M81" s="271"/>
    </row>
    <row r="82" spans="2:15" ht="25.5" customHeight="1">
      <c r="B82" s="281"/>
      <c r="C82" s="213"/>
      <c r="D82" s="194" t="s">
        <v>48</v>
      </c>
      <c r="E82" s="178">
        <f t="shared" ref="E82:J82" si="39">SUM(E77:E81)</f>
        <v>27</v>
      </c>
      <c r="F82" s="214">
        <f t="shared" si="39"/>
        <v>0</v>
      </c>
      <c r="G82" s="214">
        <f t="shared" si="39"/>
        <v>0</v>
      </c>
      <c r="H82" s="214">
        <f t="shared" si="39"/>
        <v>170642938.02020204</v>
      </c>
      <c r="I82" s="214">
        <f t="shared" si="39"/>
        <v>865832897.96825397</v>
      </c>
      <c r="J82" s="217">
        <f t="shared" si="39"/>
        <v>865832897.96825397</v>
      </c>
      <c r="K82" s="273"/>
      <c r="L82" s="273"/>
      <c r="M82" s="273"/>
      <c r="O82" s="21"/>
    </row>
    <row r="83" spans="2:15" ht="32.1" customHeight="1">
      <c r="B83" s="276" t="s">
        <v>4</v>
      </c>
      <c r="C83" s="276" t="s">
        <v>60</v>
      </c>
      <c r="D83" s="176" t="s">
        <v>61</v>
      </c>
      <c r="E83" s="131">
        <v>18</v>
      </c>
      <c r="F83" s="202">
        <f>G83/E83</f>
        <v>43991472.081349209</v>
      </c>
      <c r="G83" s="202">
        <f>'11 seats (Hiace)'!E15</f>
        <v>791846497.46428573</v>
      </c>
      <c r="H83" s="202">
        <f>I83/E83</f>
        <v>41572091.359126985</v>
      </c>
      <c r="I83" s="202">
        <f>'11 seats (Hiace)'!Q30</f>
        <v>748297644.46428573</v>
      </c>
      <c r="J83" s="212">
        <f>+I83-G83</f>
        <v>-43548853</v>
      </c>
      <c r="K83" s="270" t="s">
        <v>62</v>
      </c>
      <c r="L83" s="271"/>
      <c r="M83" s="271"/>
    </row>
    <row r="84" spans="2:15" ht="30" customHeight="1">
      <c r="B84" s="277"/>
      <c r="C84" s="277"/>
      <c r="D84" s="176" t="s">
        <v>63</v>
      </c>
      <c r="E84" s="131">
        <v>10</v>
      </c>
      <c r="F84" s="202">
        <f>G84/E84</f>
        <v>47874595.346428573</v>
      </c>
      <c r="G84" s="202">
        <f>'11 seats (Hiace)'!Q15</f>
        <v>478745953.46428573</v>
      </c>
      <c r="H84" s="202">
        <f>I84/E84</f>
        <v>45255284.446428567</v>
      </c>
      <c r="I84" s="202">
        <f>'11 seats (Hiace)'!Q45</f>
        <v>452552844.46428567</v>
      </c>
      <c r="J84" s="212">
        <f>+I84-G84</f>
        <v>-26193109.00000006</v>
      </c>
      <c r="K84" s="271"/>
      <c r="L84" s="271"/>
      <c r="M84" s="271"/>
    </row>
    <row r="85" spans="2:15" ht="33" customHeight="1">
      <c r="B85" s="277"/>
      <c r="C85" s="277"/>
      <c r="D85" s="162" t="s">
        <v>64</v>
      </c>
      <c r="E85" s="176">
        <v>8</v>
      </c>
      <c r="F85" s="218"/>
      <c r="G85" s="218"/>
      <c r="H85" s="202">
        <f>'11 seats (Hiace)'!O60</f>
        <v>52823000</v>
      </c>
      <c r="I85" s="202">
        <f t="shared" ref="I85:I88" si="40">H85*$E$85</f>
        <v>422584000</v>
      </c>
      <c r="J85" s="219"/>
      <c r="K85" s="271"/>
      <c r="L85" s="271"/>
      <c r="M85" s="271"/>
    </row>
    <row r="86" spans="2:15" ht="33" customHeight="1">
      <c r="B86" s="277"/>
      <c r="C86" s="277"/>
      <c r="D86" s="162" t="s">
        <v>65</v>
      </c>
      <c r="E86" s="176">
        <v>8</v>
      </c>
      <c r="F86" s="218"/>
      <c r="G86" s="218"/>
      <c r="H86" s="202">
        <f>'11 seats (Hiace)'!O74</f>
        <v>48728000</v>
      </c>
      <c r="I86" s="202">
        <f t="shared" si="40"/>
        <v>389824000</v>
      </c>
      <c r="J86" s="219"/>
      <c r="K86" s="271"/>
      <c r="L86" s="271"/>
      <c r="M86" s="271"/>
    </row>
    <row r="87" spans="2:15" ht="33" customHeight="1">
      <c r="B87" s="277"/>
      <c r="C87" s="277"/>
      <c r="D87" s="162" t="s">
        <v>66</v>
      </c>
      <c r="E87" s="176">
        <v>8</v>
      </c>
      <c r="F87" s="218"/>
      <c r="G87" s="218"/>
      <c r="H87" s="202">
        <f>'11 seats (Transit)'!O96</f>
        <v>45794000</v>
      </c>
      <c r="I87" s="202">
        <f t="shared" si="40"/>
        <v>366352000</v>
      </c>
      <c r="J87" s="219"/>
      <c r="K87" s="271"/>
      <c r="L87" s="271"/>
      <c r="M87" s="271"/>
    </row>
    <row r="88" spans="2:15" ht="36.75" customHeight="1">
      <c r="B88" s="277"/>
      <c r="C88" s="277"/>
      <c r="D88" s="162" t="s">
        <v>67</v>
      </c>
      <c r="E88" s="176">
        <v>8</v>
      </c>
      <c r="F88" s="218"/>
      <c r="G88" s="218"/>
      <c r="H88" s="202">
        <f>'11 seats (Transit)'!O126</f>
        <v>42657000</v>
      </c>
      <c r="I88" s="202">
        <f t="shared" si="40"/>
        <v>341256000</v>
      </c>
      <c r="J88" s="219"/>
      <c r="K88" s="271"/>
      <c r="L88" s="271"/>
      <c r="M88" s="271"/>
    </row>
    <row r="89" spans="2:15" ht="33" customHeight="1">
      <c r="B89" s="277"/>
      <c r="C89" s="277"/>
      <c r="D89" s="162" t="s">
        <v>68</v>
      </c>
      <c r="E89" s="176" t="s">
        <v>69</v>
      </c>
      <c r="F89" s="218"/>
      <c r="G89" s="218"/>
      <c r="H89" s="202">
        <f>I89/8</f>
        <v>49308500</v>
      </c>
      <c r="I89" s="202">
        <f>4*H85+4*H87</f>
        <v>394468000</v>
      </c>
      <c r="J89" s="219"/>
      <c r="K89" s="271"/>
      <c r="L89" s="271"/>
      <c r="M89" s="271"/>
    </row>
    <row r="90" spans="2:15" ht="33" customHeight="1">
      <c r="B90" s="277"/>
      <c r="C90" s="277"/>
      <c r="D90" s="162" t="s">
        <v>70</v>
      </c>
      <c r="E90" s="176" t="s">
        <v>69</v>
      </c>
      <c r="F90" s="218"/>
      <c r="G90" s="218"/>
      <c r="H90" s="202">
        <f>I90/8</f>
        <v>45692500</v>
      </c>
      <c r="I90" s="202">
        <f>4*H86+4*H88</f>
        <v>365540000</v>
      </c>
      <c r="J90" s="219"/>
      <c r="K90" s="271"/>
      <c r="L90" s="271"/>
      <c r="M90" s="271"/>
    </row>
    <row r="91" spans="2:15" ht="33" customHeight="1">
      <c r="B91" s="277"/>
      <c r="C91" s="277"/>
      <c r="D91" s="176" t="s">
        <v>71</v>
      </c>
      <c r="E91" s="176"/>
      <c r="F91" s="202"/>
      <c r="G91" s="202">
        <f t="shared" ref="G91:G96" si="41">$G$83</f>
        <v>791846497.46428573</v>
      </c>
      <c r="H91" s="202"/>
      <c r="I91" s="202">
        <f t="shared" ref="I91:I96" si="42">$I$84+I85</f>
        <v>875136844.46428561</v>
      </c>
      <c r="J91" s="212">
        <f t="shared" ref="J91:J98" si="43">+I91-G91</f>
        <v>83290346.999999881</v>
      </c>
      <c r="K91" s="271"/>
      <c r="L91" s="271"/>
      <c r="M91" s="271"/>
    </row>
    <row r="92" spans="2:15" ht="33" customHeight="1">
      <c r="B92" s="277"/>
      <c r="C92" s="277"/>
      <c r="D92" s="176" t="s">
        <v>72</v>
      </c>
      <c r="E92" s="176"/>
      <c r="F92" s="202"/>
      <c r="G92" s="202">
        <f t="shared" si="41"/>
        <v>791846497.46428573</v>
      </c>
      <c r="H92" s="202"/>
      <c r="I92" s="202">
        <f t="shared" si="42"/>
        <v>842376844.46428561</v>
      </c>
      <c r="J92" s="212">
        <f t="shared" si="43"/>
        <v>50530346.999999881</v>
      </c>
      <c r="K92" s="271"/>
      <c r="L92" s="271"/>
      <c r="M92" s="271"/>
    </row>
    <row r="93" spans="2:15" ht="33" customHeight="1">
      <c r="B93" s="277"/>
      <c r="C93" s="277"/>
      <c r="D93" s="176" t="s">
        <v>73</v>
      </c>
      <c r="E93" s="176"/>
      <c r="F93" s="202"/>
      <c r="G93" s="202">
        <f t="shared" si="41"/>
        <v>791846497.46428573</v>
      </c>
      <c r="H93" s="202"/>
      <c r="I93" s="202">
        <f t="shared" si="42"/>
        <v>818904844.46428561</v>
      </c>
      <c r="J93" s="212">
        <f t="shared" si="43"/>
        <v>27058346.999999881</v>
      </c>
      <c r="K93" s="271"/>
      <c r="L93" s="271"/>
      <c r="M93" s="271"/>
    </row>
    <row r="94" spans="2:15" ht="33" customHeight="1">
      <c r="B94" s="277"/>
      <c r="C94" s="277"/>
      <c r="D94" s="176" t="s">
        <v>74</v>
      </c>
      <c r="E94" s="176"/>
      <c r="F94" s="202"/>
      <c r="G94" s="202">
        <f t="shared" si="41"/>
        <v>791846497.46428573</v>
      </c>
      <c r="H94" s="202"/>
      <c r="I94" s="202">
        <f t="shared" si="42"/>
        <v>793808844.46428561</v>
      </c>
      <c r="J94" s="212">
        <f t="shared" si="43"/>
        <v>1962346.9999998808</v>
      </c>
      <c r="K94" s="271"/>
      <c r="L94" s="271"/>
      <c r="M94" s="271"/>
    </row>
    <row r="95" spans="2:15" ht="33" customHeight="1">
      <c r="B95" s="277"/>
      <c r="C95" s="277"/>
      <c r="D95" s="176" t="s">
        <v>75</v>
      </c>
      <c r="E95" s="176"/>
      <c r="F95" s="202"/>
      <c r="G95" s="202">
        <f t="shared" si="41"/>
        <v>791846497.46428573</v>
      </c>
      <c r="H95" s="202"/>
      <c r="I95" s="202">
        <f t="shared" si="42"/>
        <v>847020844.46428561</v>
      </c>
      <c r="J95" s="212">
        <f t="shared" si="43"/>
        <v>55174346.999999881</v>
      </c>
      <c r="K95" s="271"/>
      <c r="L95" s="271"/>
      <c r="M95" s="271"/>
    </row>
    <row r="96" spans="2:15" ht="33" customHeight="1">
      <c r="B96" s="277"/>
      <c r="C96" s="277"/>
      <c r="D96" s="176" t="s">
        <v>76</v>
      </c>
      <c r="E96" s="176"/>
      <c r="F96" s="202"/>
      <c r="G96" s="202">
        <f t="shared" si="41"/>
        <v>791846497.46428573</v>
      </c>
      <c r="H96" s="202"/>
      <c r="I96" s="202">
        <f t="shared" si="42"/>
        <v>818092844.46428561</v>
      </c>
      <c r="J96" s="210">
        <f t="shared" si="43"/>
        <v>26246346.999999881</v>
      </c>
      <c r="K96" s="271"/>
      <c r="L96" s="271"/>
      <c r="M96" s="271"/>
    </row>
    <row r="97" spans="2:13" ht="32.1" customHeight="1">
      <c r="B97" s="276"/>
      <c r="C97" s="276" t="s">
        <v>77</v>
      </c>
      <c r="D97" s="176" t="s">
        <v>61</v>
      </c>
      <c r="E97" s="131">
        <v>19</v>
      </c>
      <c r="F97" s="202">
        <f>G97/E97</f>
        <v>50316781.684210524</v>
      </c>
      <c r="G97" s="202">
        <f>'11 seats (Hiace)'!H15</f>
        <v>956018852</v>
      </c>
      <c r="H97" s="202">
        <f>I97/E97</f>
        <v>46883504.210526317</v>
      </c>
      <c r="I97" s="202">
        <f>'11 seats (Hiace)'!T30</f>
        <v>890786580</v>
      </c>
      <c r="J97" s="212">
        <f t="shared" si="43"/>
        <v>-65232272</v>
      </c>
      <c r="K97" s="270" t="s">
        <v>78</v>
      </c>
      <c r="L97" s="271"/>
      <c r="M97" s="271"/>
    </row>
    <row r="98" spans="2:13" ht="30" customHeight="1">
      <c r="B98" s="277"/>
      <c r="C98" s="277"/>
      <c r="D98" s="176" t="s">
        <v>63</v>
      </c>
      <c r="E98" s="131">
        <v>7</v>
      </c>
      <c r="F98" s="202">
        <f>G98/E98</f>
        <v>59210156.571428575</v>
      </c>
      <c r="G98" s="202">
        <f>'11 seats (Hiace)'!T15</f>
        <v>414471096</v>
      </c>
      <c r="H98" s="202">
        <f>I98/E98</f>
        <v>55703968.571428575</v>
      </c>
      <c r="I98" s="202">
        <f>'11 seats (Hiace)'!H45</f>
        <v>389927780</v>
      </c>
      <c r="J98" s="212">
        <f t="shared" si="43"/>
        <v>-24543316</v>
      </c>
      <c r="K98" s="271"/>
      <c r="L98" s="271"/>
      <c r="M98" s="271"/>
    </row>
    <row r="99" spans="2:13" ht="33" customHeight="1">
      <c r="B99" s="277"/>
      <c r="C99" s="277"/>
      <c r="D99" s="162" t="s">
        <v>79</v>
      </c>
      <c r="E99" s="176">
        <v>12</v>
      </c>
      <c r="F99" s="218"/>
      <c r="G99" s="218"/>
      <c r="H99" s="202">
        <f>'11 seats (Hiace)'!R60</f>
        <v>55697000</v>
      </c>
      <c r="I99" s="202">
        <f t="shared" ref="I99:I102" si="44">H99*$E$99</f>
        <v>668364000</v>
      </c>
      <c r="J99" s="219"/>
      <c r="K99" s="271"/>
      <c r="L99" s="271"/>
      <c r="M99" s="271"/>
    </row>
    <row r="100" spans="2:13" ht="33" customHeight="1">
      <c r="B100" s="277"/>
      <c r="C100" s="277"/>
      <c r="D100" s="162" t="s">
        <v>80</v>
      </c>
      <c r="E100" s="176">
        <v>12</v>
      </c>
      <c r="F100" s="218"/>
      <c r="G100" s="218"/>
      <c r="H100" s="202">
        <f>'11 seats (Hiace)'!R74</f>
        <v>51602000</v>
      </c>
      <c r="I100" s="202">
        <f>H100*$E$99</f>
        <v>619224000</v>
      </c>
      <c r="J100" s="219"/>
      <c r="K100" s="271"/>
      <c r="L100" s="271"/>
      <c r="M100" s="271"/>
    </row>
    <row r="101" spans="2:13" ht="33" customHeight="1">
      <c r="B101" s="277"/>
      <c r="C101" s="277"/>
      <c r="D101" s="162" t="s">
        <v>81</v>
      </c>
      <c r="E101" s="176">
        <v>12</v>
      </c>
      <c r="F101" s="218"/>
      <c r="G101" s="218"/>
      <c r="H101" s="202">
        <f>'11 seats (Transit)'!R96</f>
        <v>48668000</v>
      </c>
      <c r="I101" s="202">
        <f t="shared" si="44"/>
        <v>584016000</v>
      </c>
      <c r="J101" s="219"/>
      <c r="K101" s="271"/>
      <c r="L101" s="271"/>
      <c r="M101" s="271"/>
    </row>
    <row r="102" spans="2:13" ht="33" customHeight="1">
      <c r="B102" s="277"/>
      <c r="C102" s="277"/>
      <c r="D102" s="162" t="s">
        <v>82</v>
      </c>
      <c r="E102" s="176">
        <v>12</v>
      </c>
      <c r="F102" s="218"/>
      <c r="G102" s="218"/>
      <c r="H102" s="202">
        <f>'11 seats (Transit)'!R126</f>
        <v>45531000</v>
      </c>
      <c r="I102" s="202">
        <f t="shared" si="44"/>
        <v>546372000</v>
      </c>
      <c r="J102" s="219"/>
      <c r="K102" s="271"/>
      <c r="L102" s="271"/>
      <c r="M102" s="271"/>
    </row>
    <row r="103" spans="2:13" ht="33" customHeight="1">
      <c r="B103" s="277"/>
      <c r="C103" s="277"/>
      <c r="D103" s="162" t="s">
        <v>83</v>
      </c>
      <c r="E103" s="176" t="s">
        <v>126</v>
      </c>
      <c r="F103" s="218"/>
      <c r="G103" s="218"/>
      <c r="H103" s="202">
        <f>I103/E99</f>
        <v>52182500</v>
      </c>
      <c r="I103" s="202">
        <f>H99*6+H101*6</f>
        <v>626190000</v>
      </c>
      <c r="J103" s="219"/>
      <c r="K103" s="271"/>
      <c r="L103" s="271"/>
      <c r="M103" s="271"/>
    </row>
    <row r="104" spans="2:13" ht="33" customHeight="1">
      <c r="B104" s="277"/>
      <c r="C104" s="277"/>
      <c r="D104" s="162" t="s">
        <v>85</v>
      </c>
      <c r="E104" s="176" t="s">
        <v>126</v>
      </c>
      <c r="F104" s="218"/>
      <c r="G104" s="218"/>
      <c r="H104" s="202">
        <f>I104/E99</f>
        <v>48566500</v>
      </c>
      <c r="I104" s="202">
        <f>H100*6+H102*6</f>
        <v>582798000</v>
      </c>
      <c r="J104" s="219"/>
      <c r="K104" s="271"/>
      <c r="L104" s="271"/>
      <c r="M104" s="271"/>
    </row>
    <row r="105" spans="2:13" ht="33" customHeight="1">
      <c r="B105" s="277"/>
      <c r="C105" s="277"/>
      <c r="D105" s="176" t="s">
        <v>71</v>
      </c>
      <c r="E105" s="176"/>
      <c r="F105" s="202"/>
      <c r="G105" s="202">
        <f t="shared" ref="G105:G110" si="45">$G$97</f>
        <v>956018852</v>
      </c>
      <c r="H105" s="202"/>
      <c r="I105" s="202">
        <f t="shared" ref="I105:I110" si="46">$I$98+I99</f>
        <v>1058291780</v>
      </c>
      <c r="J105" s="212">
        <f t="shared" ref="J105:J112" si="47">+I105-G105</f>
        <v>102272928</v>
      </c>
      <c r="K105" s="271"/>
      <c r="L105" s="271"/>
      <c r="M105" s="271"/>
    </row>
    <row r="106" spans="2:13" ht="33" customHeight="1">
      <c r="B106" s="277"/>
      <c r="C106" s="277"/>
      <c r="D106" s="176" t="s">
        <v>72</v>
      </c>
      <c r="E106" s="176"/>
      <c r="F106" s="202"/>
      <c r="G106" s="202">
        <f t="shared" si="45"/>
        <v>956018852</v>
      </c>
      <c r="H106" s="202"/>
      <c r="I106" s="202">
        <f t="shared" si="46"/>
        <v>1009151780</v>
      </c>
      <c r="J106" s="212">
        <f t="shared" si="47"/>
        <v>53132928</v>
      </c>
      <c r="K106" s="271"/>
      <c r="L106" s="271"/>
      <c r="M106" s="271"/>
    </row>
    <row r="107" spans="2:13" ht="33" customHeight="1">
      <c r="B107" s="277"/>
      <c r="C107" s="277"/>
      <c r="D107" s="176" t="s">
        <v>73</v>
      </c>
      <c r="E107" s="176"/>
      <c r="F107" s="202"/>
      <c r="G107" s="202">
        <f t="shared" si="45"/>
        <v>956018852</v>
      </c>
      <c r="H107" s="202"/>
      <c r="I107" s="202">
        <f t="shared" si="46"/>
        <v>973943780</v>
      </c>
      <c r="J107" s="210">
        <f t="shared" si="47"/>
        <v>17924928</v>
      </c>
      <c r="K107" s="271"/>
      <c r="L107" s="271"/>
      <c r="M107" s="271"/>
    </row>
    <row r="108" spans="2:13" ht="33" customHeight="1">
      <c r="B108" s="277"/>
      <c r="C108" s="277"/>
      <c r="D108" s="176" t="s">
        <v>74</v>
      </c>
      <c r="E108" s="176"/>
      <c r="F108" s="202"/>
      <c r="G108" s="202">
        <f t="shared" si="45"/>
        <v>956018852</v>
      </c>
      <c r="H108" s="202"/>
      <c r="I108" s="202">
        <f t="shared" si="46"/>
        <v>936299780</v>
      </c>
      <c r="J108" s="212">
        <f t="shared" si="47"/>
        <v>-19719072</v>
      </c>
      <c r="K108" s="271"/>
      <c r="L108" s="271"/>
      <c r="M108" s="271"/>
    </row>
    <row r="109" spans="2:13" ht="33" customHeight="1">
      <c r="B109" s="277"/>
      <c r="C109" s="277"/>
      <c r="D109" s="176" t="s">
        <v>75</v>
      </c>
      <c r="E109" s="176"/>
      <c r="F109" s="202"/>
      <c r="G109" s="202">
        <f t="shared" si="45"/>
        <v>956018852</v>
      </c>
      <c r="H109" s="202"/>
      <c r="I109" s="202">
        <f t="shared" si="46"/>
        <v>1016117780</v>
      </c>
      <c r="J109" s="212">
        <f t="shared" si="47"/>
        <v>60098928</v>
      </c>
      <c r="K109" s="271"/>
      <c r="L109" s="271"/>
      <c r="M109" s="271"/>
    </row>
    <row r="110" spans="2:13" ht="33" customHeight="1">
      <c r="B110" s="277"/>
      <c r="C110" s="277"/>
      <c r="D110" s="176" t="s">
        <v>76</v>
      </c>
      <c r="E110" s="176"/>
      <c r="F110" s="202"/>
      <c r="G110" s="202">
        <f t="shared" si="45"/>
        <v>956018852</v>
      </c>
      <c r="H110" s="202"/>
      <c r="I110" s="202">
        <f t="shared" si="46"/>
        <v>972725780</v>
      </c>
      <c r="J110" s="210">
        <f t="shared" si="47"/>
        <v>16706928</v>
      </c>
      <c r="K110" s="271"/>
      <c r="L110" s="271"/>
      <c r="M110" s="271"/>
    </row>
    <row r="111" spans="2:13" ht="32.1" customHeight="1">
      <c r="B111" s="276"/>
      <c r="C111" s="276" t="s">
        <v>86</v>
      </c>
      <c r="D111" s="176" t="s">
        <v>61</v>
      </c>
      <c r="E111" s="131">
        <v>6</v>
      </c>
      <c r="F111" s="202">
        <f>G111/E111</f>
        <v>46126944.666666664</v>
      </c>
      <c r="G111" s="202">
        <f>'11 seats (Hiace)'!K15</f>
        <v>276761668</v>
      </c>
      <c r="H111" s="202">
        <f>I111/E111</f>
        <v>45518034.444444448</v>
      </c>
      <c r="I111" s="202">
        <f>'11 seats (Hiace)'!W30</f>
        <v>273108206.66666669</v>
      </c>
      <c r="J111" s="212">
        <f t="shared" si="47"/>
        <v>-3653461.3333333135</v>
      </c>
      <c r="K111" s="270" t="s">
        <v>28</v>
      </c>
      <c r="L111" s="271"/>
      <c r="M111" s="271"/>
    </row>
    <row r="112" spans="2:13" ht="30" customHeight="1">
      <c r="B112" s="277"/>
      <c r="C112" s="277"/>
      <c r="D112" s="176" t="s">
        <v>63</v>
      </c>
      <c r="E112" s="131">
        <v>2</v>
      </c>
      <c r="F112" s="202">
        <f>G112/E112</f>
        <v>52994303.333333328</v>
      </c>
      <c r="G112" s="202">
        <f>'11 seats (Hiace)'!K45</f>
        <v>105988606.66666666</v>
      </c>
      <c r="H112" s="202">
        <f>I112/E112</f>
        <v>52764303.333333321</v>
      </c>
      <c r="I112" s="202">
        <f>'11 seats (Hiace)'!W45</f>
        <v>105528606.66666664</v>
      </c>
      <c r="J112" s="212">
        <f t="shared" si="47"/>
        <v>-460000.0000000149</v>
      </c>
      <c r="K112" s="271"/>
      <c r="L112" s="271"/>
      <c r="M112" s="271"/>
    </row>
    <row r="113" spans="2:13" ht="33" customHeight="1">
      <c r="B113" s="277"/>
      <c r="C113" s="277"/>
      <c r="D113" s="162" t="s">
        <v>87</v>
      </c>
      <c r="E113" s="176" t="s">
        <v>127</v>
      </c>
      <c r="F113" s="218"/>
      <c r="G113" s="218"/>
      <c r="H113" s="202">
        <f>'11 seats (Hiace)'!U60</f>
        <v>55697000</v>
      </c>
      <c r="I113" s="202">
        <f t="shared" ref="I113:I116" si="48">H113*$E$113</f>
        <v>222788000</v>
      </c>
      <c r="J113" s="219"/>
      <c r="K113" s="271"/>
      <c r="L113" s="271"/>
      <c r="M113" s="271"/>
    </row>
    <row r="114" spans="2:13" ht="33" customHeight="1">
      <c r="B114" s="277"/>
      <c r="C114" s="277"/>
      <c r="D114" s="162" t="s">
        <v>88</v>
      </c>
      <c r="E114" s="176" t="s">
        <v>127</v>
      </c>
      <c r="F114" s="218"/>
      <c r="G114" s="218"/>
      <c r="H114" s="202">
        <f>'11 seats (Hiace)'!U74</f>
        <v>51602000</v>
      </c>
      <c r="I114" s="214">
        <f t="shared" si="48"/>
        <v>206408000</v>
      </c>
      <c r="J114" s="219"/>
      <c r="K114" s="271">
        <f>I114-I116</f>
        <v>24284000</v>
      </c>
      <c r="L114" s="271"/>
      <c r="M114" s="271"/>
    </row>
    <row r="115" spans="2:13" ht="33" customHeight="1">
      <c r="B115" s="277"/>
      <c r="C115" s="277"/>
      <c r="D115" s="162" t="s">
        <v>89</v>
      </c>
      <c r="E115" s="176" t="s">
        <v>127</v>
      </c>
      <c r="F115" s="218"/>
      <c r="G115" s="218"/>
      <c r="H115" s="202">
        <f>'11 seats (Transit)'!U96</f>
        <v>48668000</v>
      </c>
      <c r="I115" s="202">
        <f t="shared" si="48"/>
        <v>194672000</v>
      </c>
      <c r="J115" s="219"/>
      <c r="K115" s="271"/>
      <c r="L115" s="271"/>
      <c r="M115" s="271"/>
    </row>
    <row r="116" spans="2:13" ht="33" customHeight="1">
      <c r="B116" s="277"/>
      <c r="C116" s="277"/>
      <c r="D116" s="162" t="s">
        <v>90</v>
      </c>
      <c r="E116" s="176" t="s">
        <v>127</v>
      </c>
      <c r="F116" s="218"/>
      <c r="G116" s="218"/>
      <c r="H116" s="202">
        <f>'11 seats (Transit)'!U126</f>
        <v>45531000</v>
      </c>
      <c r="I116" s="214">
        <f t="shared" si="48"/>
        <v>182124000</v>
      </c>
      <c r="J116" s="219"/>
      <c r="K116" s="271"/>
      <c r="L116" s="271"/>
      <c r="M116" s="271"/>
    </row>
    <row r="117" spans="2:13" ht="33" customHeight="1">
      <c r="B117" s="277"/>
      <c r="C117" s="277"/>
      <c r="D117" s="162" t="s">
        <v>91</v>
      </c>
      <c r="E117" s="176" t="s">
        <v>128</v>
      </c>
      <c r="F117" s="218"/>
      <c r="G117" s="218"/>
      <c r="H117" s="202">
        <f>I117/E113</f>
        <v>52182500</v>
      </c>
      <c r="I117" s="202">
        <f>H113*2+H115*2</f>
        <v>208730000</v>
      </c>
      <c r="J117" s="219"/>
      <c r="K117" s="271"/>
      <c r="L117" s="271"/>
      <c r="M117" s="271"/>
    </row>
    <row r="118" spans="2:13" ht="33" customHeight="1">
      <c r="B118" s="277"/>
      <c r="C118" s="277"/>
      <c r="D118" s="162" t="s">
        <v>93</v>
      </c>
      <c r="E118" s="176" t="s">
        <v>128</v>
      </c>
      <c r="F118" s="218"/>
      <c r="G118" s="218"/>
      <c r="H118" s="202">
        <f>I118/4</f>
        <v>48566500</v>
      </c>
      <c r="I118" s="202">
        <f>H114*2+H116*2</f>
        <v>194266000</v>
      </c>
      <c r="J118" s="219"/>
      <c r="K118" s="271"/>
      <c r="L118" s="271"/>
      <c r="M118" s="271"/>
    </row>
    <row r="119" spans="2:13" ht="33" customHeight="1">
      <c r="B119" s="277"/>
      <c r="C119" s="277"/>
      <c r="D119" s="176" t="s">
        <v>71</v>
      </c>
      <c r="E119" s="176"/>
      <c r="F119" s="202"/>
      <c r="G119" s="202">
        <f t="shared" ref="G119:G124" si="49">$G$111</f>
        <v>276761668</v>
      </c>
      <c r="H119" s="202"/>
      <c r="I119" s="202">
        <f t="shared" ref="I119:I124" si="50">$I$112+I113</f>
        <v>328316606.66666663</v>
      </c>
      <c r="J119" s="212">
        <f t="shared" ref="J119:J127" si="51">+I119-G119</f>
        <v>51554938.666666627</v>
      </c>
      <c r="K119" s="271"/>
      <c r="L119" s="271"/>
      <c r="M119" s="271"/>
    </row>
    <row r="120" spans="2:13" ht="33" customHeight="1">
      <c r="B120" s="277"/>
      <c r="C120" s="277"/>
      <c r="D120" s="176" t="s">
        <v>72</v>
      </c>
      <c r="E120" s="176"/>
      <c r="F120" s="202"/>
      <c r="G120" s="202">
        <f t="shared" si="49"/>
        <v>276761668</v>
      </c>
      <c r="H120" s="202"/>
      <c r="I120" s="202">
        <f t="shared" si="50"/>
        <v>311936606.66666663</v>
      </c>
      <c r="J120" s="212">
        <f t="shared" si="51"/>
        <v>35174938.666666627</v>
      </c>
      <c r="K120" s="271"/>
      <c r="L120" s="271"/>
      <c r="M120" s="271"/>
    </row>
    <row r="121" spans="2:13" ht="33" customHeight="1">
      <c r="B121" s="277"/>
      <c r="C121" s="277"/>
      <c r="D121" s="176" t="s">
        <v>73</v>
      </c>
      <c r="E121" s="176"/>
      <c r="F121" s="202"/>
      <c r="G121" s="202">
        <f t="shared" si="49"/>
        <v>276761668</v>
      </c>
      <c r="H121" s="202"/>
      <c r="I121" s="202">
        <f t="shared" si="50"/>
        <v>300200606.66666663</v>
      </c>
      <c r="J121" s="210">
        <f t="shared" si="51"/>
        <v>23438938.666666627</v>
      </c>
      <c r="K121" s="271"/>
      <c r="L121" s="271"/>
      <c r="M121" s="271"/>
    </row>
    <row r="122" spans="2:13" ht="33" customHeight="1">
      <c r="B122" s="277"/>
      <c r="C122" s="277"/>
      <c r="D122" s="176" t="s">
        <v>74</v>
      </c>
      <c r="E122" s="176"/>
      <c r="F122" s="202"/>
      <c r="G122" s="202">
        <f t="shared" si="49"/>
        <v>276761668</v>
      </c>
      <c r="H122" s="202"/>
      <c r="I122" s="202">
        <f t="shared" si="50"/>
        <v>287652606.66666663</v>
      </c>
      <c r="J122" s="212">
        <f t="shared" si="51"/>
        <v>10890938.666666627</v>
      </c>
      <c r="K122" s="271"/>
      <c r="L122" s="271"/>
      <c r="M122" s="271"/>
    </row>
    <row r="123" spans="2:13" ht="33" customHeight="1">
      <c r="B123" s="277"/>
      <c r="C123" s="277"/>
      <c r="D123" s="176" t="s">
        <v>75</v>
      </c>
      <c r="E123" s="176"/>
      <c r="F123" s="202"/>
      <c r="G123" s="202">
        <f t="shared" si="49"/>
        <v>276761668</v>
      </c>
      <c r="H123" s="202"/>
      <c r="I123" s="202">
        <f t="shared" si="50"/>
        <v>314258606.66666663</v>
      </c>
      <c r="J123" s="212">
        <f t="shared" si="51"/>
        <v>37496938.666666627</v>
      </c>
      <c r="K123" s="271"/>
      <c r="L123" s="271"/>
      <c r="M123" s="271"/>
    </row>
    <row r="124" spans="2:13" ht="33" customHeight="1">
      <c r="B124" s="277"/>
      <c r="C124" s="277"/>
      <c r="D124" s="176" t="s">
        <v>76</v>
      </c>
      <c r="E124" s="176"/>
      <c r="F124" s="202"/>
      <c r="G124" s="202">
        <f t="shared" si="49"/>
        <v>276761668</v>
      </c>
      <c r="H124" s="202"/>
      <c r="I124" s="202">
        <f t="shared" si="50"/>
        <v>299794606.66666663</v>
      </c>
      <c r="J124" s="210">
        <f t="shared" si="51"/>
        <v>23032938.666666627</v>
      </c>
      <c r="K124" s="271"/>
      <c r="L124" s="271"/>
      <c r="M124" s="271"/>
    </row>
    <row r="125" spans="2:13" ht="33" customHeight="1">
      <c r="B125" s="277"/>
      <c r="C125" s="276" t="s">
        <v>94</v>
      </c>
      <c r="D125" s="176" t="s">
        <v>10</v>
      </c>
      <c r="E125" s="131">
        <v>2</v>
      </c>
      <c r="F125" s="202">
        <f>G125/E125</f>
        <v>42076167</v>
      </c>
      <c r="G125" s="202">
        <f>+'11 seats (Hiace)'!E89</f>
        <v>84152334</v>
      </c>
      <c r="H125" s="202">
        <f>I125/E125</f>
        <v>40670200</v>
      </c>
      <c r="I125" s="202">
        <f>+'11 seats (Hiace)'!E118</f>
        <v>81340400</v>
      </c>
      <c r="J125" s="212">
        <f t="shared" si="51"/>
        <v>-2811934</v>
      </c>
      <c r="K125" s="271"/>
      <c r="L125" s="271"/>
      <c r="M125" s="271"/>
    </row>
    <row r="126" spans="2:13" ht="33" customHeight="1">
      <c r="B126" s="277"/>
      <c r="C126" s="277"/>
      <c r="D126" s="176" t="s">
        <v>15</v>
      </c>
      <c r="E126" s="131">
        <v>1</v>
      </c>
      <c r="F126" s="202">
        <f>'11 seats (Hiace)'!H89</f>
        <v>65468368</v>
      </c>
      <c r="G126" s="202">
        <f>+F126*E126</f>
        <v>65468368</v>
      </c>
      <c r="H126" s="202">
        <f>'11 seats (Hiace)'!H118</f>
        <v>52805600</v>
      </c>
      <c r="I126" s="202">
        <f>+H126*E126</f>
        <v>52805600</v>
      </c>
      <c r="J126" s="212">
        <f t="shared" si="51"/>
        <v>-12662768</v>
      </c>
      <c r="K126" s="271"/>
      <c r="L126" s="271"/>
      <c r="M126" s="271"/>
    </row>
    <row r="127" spans="2:13" ht="33" customHeight="1">
      <c r="B127" s="277"/>
      <c r="C127" s="278"/>
      <c r="D127" s="176" t="s">
        <v>17</v>
      </c>
      <c r="E127" s="131">
        <v>1</v>
      </c>
      <c r="F127" s="202">
        <f>'11 seats (Hiace)'!K89</f>
        <v>65021968</v>
      </c>
      <c r="G127" s="202">
        <f>+F127*E127</f>
        <v>65021968</v>
      </c>
      <c r="H127" s="202">
        <f>'11 seats (Transit)'!W140</f>
        <v>53724000</v>
      </c>
      <c r="I127" s="202">
        <f>+H127*E127</f>
        <v>53724000</v>
      </c>
      <c r="J127" s="212">
        <f t="shared" si="51"/>
        <v>-11297968</v>
      </c>
      <c r="K127" s="271"/>
      <c r="L127" s="271"/>
      <c r="M127" s="271"/>
    </row>
    <row r="129" spans="2:13">
      <c r="B129" s="7"/>
      <c r="C129" s="7" t="s">
        <v>10</v>
      </c>
      <c r="D129" s="7"/>
      <c r="E129" s="7"/>
      <c r="F129" s="7"/>
      <c r="G129" s="7"/>
      <c r="H129" s="220">
        <f>I125+I126+I127+I120+I106+I92</f>
        <v>2351335231.1309519</v>
      </c>
      <c r="I129" s="7"/>
      <c r="J129" s="7"/>
      <c r="K129" s="7"/>
      <c r="L129" s="7"/>
      <c r="M129" s="7"/>
    </row>
    <row r="130" spans="2:13">
      <c r="B130" s="7"/>
      <c r="C130" s="7" t="s">
        <v>15</v>
      </c>
      <c r="D130" s="7"/>
      <c r="E130" s="7"/>
      <c r="F130" s="7"/>
      <c r="G130" s="7"/>
      <c r="H130" s="220">
        <f>H129/47</f>
        <v>50028409.17299898</v>
      </c>
      <c r="I130" s="7"/>
      <c r="J130" s="7"/>
      <c r="K130" s="7"/>
      <c r="L130" s="7"/>
      <c r="M130" s="7"/>
    </row>
    <row r="131" spans="2:13">
      <c r="B131" s="7"/>
      <c r="C131" s="7" t="s">
        <v>17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3" spans="2:13" ht="23.1" customHeight="1">
      <c r="B133" s="312" t="s">
        <v>136</v>
      </c>
      <c r="C133" s="313"/>
      <c r="D133" s="201" t="s">
        <v>97</v>
      </c>
      <c r="E133" s="201" t="s">
        <v>98</v>
      </c>
      <c r="F133" s="201" t="s">
        <v>99</v>
      </c>
      <c r="G133" s="201" t="s">
        <v>100</v>
      </c>
      <c r="H133" s="201" t="s">
        <v>101</v>
      </c>
      <c r="I133" s="201" t="s">
        <v>102</v>
      </c>
      <c r="J133" s="201" t="s">
        <v>103</v>
      </c>
      <c r="K133" s="201" t="s">
        <v>117</v>
      </c>
    </row>
    <row r="134" spans="2:13" ht="57.95" customHeight="1">
      <c r="B134" s="313"/>
      <c r="C134" s="313"/>
      <c r="D134" s="221" t="s">
        <v>196</v>
      </c>
      <c r="E134" s="222" t="s">
        <v>130</v>
      </c>
      <c r="F134" s="222" t="s">
        <v>131</v>
      </c>
      <c r="G134" s="222" t="s">
        <v>132</v>
      </c>
      <c r="H134" s="223" t="s">
        <v>133</v>
      </c>
      <c r="I134" s="222" t="s">
        <v>114</v>
      </c>
      <c r="J134" s="221" t="s">
        <v>115</v>
      </c>
      <c r="K134" s="223" t="s">
        <v>197</v>
      </c>
    </row>
    <row r="135" spans="2:13" s="161" customFormat="1" ht="23.1" customHeight="1">
      <c r="B135" s="283" t="s">
        <v>10</v>
      </c>
      <c r="C135" s="224" t="s">
        <v>3</v>
      </c>
      <c r="D135" s="225">
        <f>$G$50+$G$51+$G$59+$G$83+$G$125</f>
        <v>1345458283.4642859</v>
      </c>
      <c r="E135" s="225">
        <f t="shared" ref="E135:K135" si="52">$D$135</f>
        <v>1345458283.4642859</v>
      </c>
      <c r="F135" s="225">
        <f t="shared" si="52"/>
        <v>1345458283.4642859</v>
      </c>
      <c r="G135" s="225">
        <f t="shared" si="52"/>
        <v>1345458283.4642859</v>
      </c>
      <c r="H135" s="225">
        <f t="shared" si="52"/>
        <v>1345458283.4642859</v>
      </c>
      <c r="I135" s="225">
        <f t="shared" si="52"/>
        <v>1345458283.4642859</v>
      </c>
      <c r="J135" s="225">
        <f t="shared" si="52"/>
        <v>1345458283.4642859</v>
      </c>
      <c r="K135" s="231">
        <f t="shared" si="52"/>
        <v>1345458283.4642859</v>
      </c>
    </row>
    <row r="136" spans="2:13" s="161" customFormat="1" ht="23.1" customHeight="1">
      <c r="B136" s="283"/>
      <c r="C136" s="226" t="s">
        <v>42</v>
      </c>
      <c r="D136" s="225">
        <f>$I$50+$I$51+$I$59+$I$83+$I$125</f>
        <v>1282682642.4642859</v>
      </c>
      <c r="E136" s="225">
        <f>$I$50+$I$51+$I$59+I91+$I$125</f>
        <v>1409521842.4642856</v>
      </c>
      <c r="F136" s="225">
        <f>$I$50+$I$51+$I$59+I92+$I$125</f>
        <v>1376761842.4642856</v>
      </c>
      <c r="G136" s="225">
        <f>$I$50+$I$51+$I$59+I93+$I$125</f>
        <v>1353289842.4642856</v>
      </c>
      <c r="H136" s="225">
        <f>$I$50+$I$51+$I$59+I94+$I$125</f>
        <v>1328193842.4642856</v>
      </c>
      <c r="I136" s="225">
        <f>$I$50+$I$51+$I$59+I95+$I$125</f>
        <v>1381405842.4642856</v>
      </c>
      <c r="J136" s="225">
        <f>$I$50+$I$51+$I$59+I96+$I$125</f>
        <v>1352477842.4642856</v>
      </c>
      <c r="K136" s="225">
        <f>$I$50+$I$51+I65+$I$83+$I$125</f>
        <v>1338641964.4642859</v>
      </c>
    </row>
    <row r="137" spans="2:13" s="161" customFormat="1" ht="23.1" customHeight="1">
      <c r="B137" s="283"/>
      <c r="C137" s="227" t="s">
        <v>43</v>
      </c>
      <c r="D137" s="228">
        <f t="shared" ref="D137:K137" si="53">D136-D135</f>
        <v>-62775641</v>
      </c>
      <c r="E137" s="228">
        <f t="shared" si="53"/>
        <v>64063558.999999762</v>
      </c>
      <c r="F137" s="228">
        <f t="shared" si="53"/>
        <v>31303558.999999762</v>
      </c>
      <c r="G137" s="228">
        <f t="shared" si="53"/>
        <v>7831558.9999997616</v>
      </c>
      <c r="H137" s="228">
        <f t="shared" si="53"/>
        <v>-17264441.000000238</v>
      </c>
      <c r="I137" s="228">
        <f t="shared" si="53"/>
        <v>35947558.999999762</v>
      </c>
      <c r="J137" s="228">
        <f t="shared" si="53"/>
        <v>7019558.9999997616</v>
      </c>
      <c r="K137" s="232">
        <f t="shared" si="53"/>
        <v>-6816319</v>
      </c>
    </row>
    <row r="138" spans="2:13" s="205" customFormat="1" ht="35.1" customHeight="1">
      <c r="B138" s="284"/>
      <c r="C138" s="132" t="s">
        <v>8</v>
      </c>
      <c r="D138" s="131" t="s">
        <v>137</v>
      </c>
      <c r="E138" s="306" t="s">
        <v>138</v>
      </c>
      <c r="F138" s="307"/>
      <c r="G138" s="306" t="s">
        <v>139</v>
      </c>
      <c r="H138" s="307"/>
      <c r="I138" s="308" t="s">
        <v>140</v>
      </c>
      <c r="J138" s="309"/>
      <c r="K138" s="233" t="s">
        <v>141</v>
      </c>
    </row>
    <row r="139" spans="2:13" s="161" customFormat="1" ht="23.1" customHeight="1">
      <c r="B139" s="282" t="s">
        <v>15</v>
      </c>
      <c r="C139" s="226" t="s">
        <v>3</v>
      </c>
      <c r="D139" s="225">
        <f>$G$56+$G$60+$G$63+$G$97+$G$126</f>
        <v>1335895977</v>
      </c>
      <c r="E139" s="225">
        <f t="shared" ref="E139:K139" si="54">$D$139</f>
        <v>1335895977</v>
      </c>
      <c r="F139" s="225">
        <f t="shared" si="54"/>
        <v>1335895977</v>
      </c>
      <c r="G139" s="225">
        <f t="shared" si="54"/>
        <v>1335895977</v>
      </c>
      <c r="H139" s="225">
        <f t="shared" si="54"/>
        <v>1335895977</v>
      </c>
      <c r="I139" s="225">
        <f t="shared" si="54"/>
        <v>1335895977</v>
      </c>
      <c r="J139" s="225">
        <f t="shared" si="54"/>
        <v>1335895977</v>
      </c>
      <c r="K139" s="231">
        <f t="shared" si="54"/>
        <v>1335895977</v>
      </c>
    </row>
    <row r="140" spans="2:13" s="161" customFormat="1" ht="23.1" customHeight="1">
      <c r="B140" s="283"/>
      <c r="C140" s="226" t="s">
        <v>42</v>
      </c>
      <c r="D140" s="225">
        <f>$I$52+$I$60+$I$63+I97+$I$126</f>
        <v>1274644723.7777777</v>
      </c>
      <c r="E140" s="225">
        <f>$I$52+$I$60+$I$63+I105+$I$126</f>
        <v>1442149923.7777777</v>
      </c>
      <c r="F140" s="225">
        <f>$I$52+$I$60+$I$63+I106+$I$126</f>
        <v>1393009923.7777777</v>
      </c>
      <c r="G140" s="225">
        <f>$I$52+$I$60+$I$63+I107+$I$126</f>
        <v>1357801923.7777777</v>
      </c>
      <c r="H140" s="225">
        <f>$I$52+$I$60+$I$63+I108+$I$126</f>
        <v>1320157923.7777777</v>
      </c>
      <c r="I140" s="225">
        <f>$I$52+$I$60+$I$63+I109+$I$126</f>
        <v>1399975923.7777777</v>
      </c>
      <c r="J140" s="225">
        <f>$I$52+$I$60+$I$63+I110+$I$126</f>
        <v>1356583923.7777777</v>
      </c>
      <c r="K140" s="225">
        <f>$I$52+I66+I69+I97+$I$126</f>
        <v>1312839740</v>
      </c>
    </row>
    <row r="141" spans="2:13" s="161" customFormat="1" ht="23.1" customHeight="1">
      <c r="B141" s="283"/>
      <c r="C141" s="227" t="s">
        <v>43</v>
      </c>
      <c r="D141" s="228">
        <f t="shared" ref="D141:K141" si="55">D140-D139</f>
        <v>-61251253.222222328</v>
      </c>
      <c r="E141" s="228">
        <f t="shared" si="55"/>
        <v>106253946.77777767</v>
      </c>
      <c r="F141" s="228">
        <f t="shared" si="55"/>
        <v>57113946.777777672</v>
      </c>
      <c r="G141" s="228">
        <f t="shared" si="55"/>
        <v>21905946.777777672</v>
      </c>
      <c r="H141" s="228">
        <f t="shared" si="55"/>
        <v>-15738053.222222328</v>
      </c>
      <c r="I141" s="228">
        <f t="shared" si="55"/>
        <v>64079946.777777672</v>
      </c>
      <c r="J141" s="228">
        <f t="shared" si="55"/>
        <v>20687946.777777672</v>
      </c>
      <c r="K141" s="232">
        <f t="shared" si="55"/>
        <v>-23056237</v>
      </c>
    </row>
    <row r="142" spans="2:13" s="161" customFormat="1" ht="39" customHeight="1">
      <c r="B142" s="284"/>
      <c r="C142" s="226" t="s">
        <v>8</v>
      </c>
      <c r="D142" s="131" t="s">
        <v>113</v>
      </c>
      <c r="E142" s="306" t="s">
        <v>142</v>
      </c>
      <c r="F142" s="307"/>
      <c r="G142" s="306" t="s">
        <v>143</v>
      </c>
      <c r="H142" s="307"/>
      <c r="I142" s="310" t="s">
        <v>144</v>
      </c>
      <c r="J142" s="311"/>
      <c r="K142" s="190" t="s">
        <v>145</v>
      </c>
    </row>
    <row r="143" spans="2:13" s="161" customFormat="1" ht="23.1" customHeight="1">
      <c r="B143" s="282" t="s">
        <v>17</v>
      </c>
      <c r="C143" s="226" t="s">
        <v>3</v>
      </c>
      <c r="D143" s="225">
        <f>$G$53+$G$61+$G$62+$G$111+$G$127</f>
        <v>651761479</v>
      </c>
      <c r="E143" s="225">
        <f t="shared" ref="E143:K143" si="56">$D$143</f>
        <v>651761479</v>
      </c>
      <c r="F143" s="225">
        <f t="shared" si="56"/>
        <v>651761479</v>
      </c>
      <c r="G143" s="225">
        <f t="shared" si="56"/>
        <v>651761479</v>
      </c>
      <c r="H143" s="225">
        <f t="shared" si="56"/>
        <v>651761479</v>
      </c>
      <c r="I143" s="225">
        <f t="shared" si="56"/>
        <v>651761479</v>
      </c>
      <c r="J143" s="225">
        <f t="shared" si="56"/>
        <v>651761479</v>
      </c>
      <c r="K143" s="231">
        <f t="shared" si="56"/>
        <v>651761479</v>
      </c>
    </row>
    <row r="144" spans="2:13" s="161" customFormat="1" ht="23.1" customHeight="1">
      <c r="B144" s="283"/>
      <c r="C144" s="226" t="s">
        <v>42</v>
      </c>
      <c r="D144" s="225">
        <f>$I$53+$I$61+$I$62+I111+$I$127</f>
        <v>647400910.66666675</v>
      </c>
      <c r="E144" s="225">
        <f>$I$53+$I$61+$I$62+I119+$I$127</f>
        <v>702609310.66666663</v>
      </c>
      <c r="F144" s="225">
        <f>$I$53+$I$61+$I$62+I120+$I$127</f>
        <v>686229310.66666663</v>
      </c>
      <c r="G144" s="225">
        <f>$I$53+$I$61+$I$62+I121+$I$127</f>
        <v>674493310.66666663</v>
      </c>
      <c r="H144" s="225">
        <f>$I$53+$I$61+$I$62+I122+$I$127</f>
        <v>661945310.66666663</v>
      </c>
      <c r="I144" s="225">
        <f>$I$53+$I$61+$I$62+I123+$I$127</f>
        <v>688551310.66666663</v>
      </c>
      <c r="J144" s="225">
        <f>$I$53+$I$61+$I$62+I124+$I$127</f>
        <v>674087310.66666663</v>
      </c>
      <c r="K144" s="225">
        <f>$I$53+I67+I68+I111+$I$127</f>
        <v>682643380</v>
      </c>
    </row>
    <row r="145" spans="2:11" s="161" customFormat="1" ht="23.1" customHeight="1">
      <c r="B145" s="283"/>
      <c r="C145" s="227" t="s">
        <v>43</v>
      </c>
      <c r="D145" s="228">
        <f t="shared" ref="D145:K145" si="57">D144-D143</f>
        <v>-4360568.3333332539</v>
      </c>
      <c r="E145" s="228">
        <f t="shared" si="57"/>
        <v>50847831.666666627</v>
      </c>
      <c r="F145" s="228">
        <f t="shared" si="57"/>
        <v>34467831.666666627</v>
      </c>
      <c r="G145" s="228">
        <f t="shared" si="57"/>
        <v>22731831.666666627</v>
      </c>
      <c r="H145" s="228">
        <f t="shared" si="57"/>
        <v>10183831.666666627</v>
      </c>
      <c r="I145" s="228">
        <f t="shared" si="57"/>
        <v>36789831.666666627</v>
      </c>
      <c r="J145" s="228">
        <f t="shared" si="57"/>
        <v>22325831.666666627</v>
      </c>
      <c r="K145" s="232">
        <f t="shared" si="57"/>
        <v>30881901</v>
      </c>
    </row>
    <row r="146" spans="2:11" s="161" customFormat="1" ht="38.1" customHeight="1">
      <c r="B146" s="284"/>
      <c r="C146" s="226" t="s">
        <v>8</v>
      </c>
      <c r="D146" s="131" t="s">
        <v>113</v>
      </c>
      <c r="E146" s="310" t="s">
        <v>146</v>
      </c>
      <c r="F146" s="311"/>
      <c r="G146" s="310" t="s">
        <v>147</v>
      </c>
      <c r="H146" s="311"/>
      <c r="I146" s="310" t="s">
        <v>148</v>
      </c>
      <c r="J146" s="311"/>
      <c r="K146" s="190" t="s">
        <v>149</v>
      </c>
    </row>
    <row r="147" spans="2:11" s="161" customFormat="1" ht="23.1" customHeight="1">
      <c r="B147" s="282" t="s">
        <v>111</v>
      </c>
      <c r="C147" s="226" t="s">
        <v>3</v>
      </c>
      <c r="D147" s="225">
        <f>$D$135+$D$139+$D$143</f>
        <v>3333115739.4642859</v>
      </c>
      <c r="E147" s="225">
        <f t="shared" ref="E147:K147" si="58">E135+E139+E143</f>
        <v>3333115739.4642859</v>
      </c>
      <c r="F147" s="225">
        <f t="shared" si="58"/>
        <v>3333115739.4642859</v>
      </c>
      <c r="G147" s="225">
        <f t="shared" si="58"/>
        <v>3333115739.4642859</v>
      </c>
      <c r="H147" s="225">
        <f t="shared" si="58"/>
        <v>3333115739.4642859</v>
      </c>
      <c r="I147" s="225">
        <f t="shared" si="58"/>
        <v>3333115739.4642859</v>
      </c>
      <c r="J147" s="225">
        <f t="shared" si="58"/>
        <v>3333115739.4642859</v>
      </c>
      <c r="K147" s="231">
        <f t="shared" si="58"/>
        <v>3333115739.4642859</v>
      </c>
    </row>
    <row r="148" spans="2:11" s="161" customFormat="1" ht="23.1" customHeight="1">
      <c r="B148" s="283"/>
      <c r="C148" s="226" t="s">
        <v>42</v>
      </c>
      <c r="D148" s="225">
        <f>$D$136+$D$140+$D$144</f>
        <v>3204728276.9087305</v>
      </c>
      <c r="E148" s="225">
        <f t="shared" ref="E148:K148" si="59">E136+E140+E144</f>
        <v>3554281076.90873</v>
      </c>
      <c r="F148" s="225">
        <f t="shared" si="59"/>
        <v>3456001076.90873</v>
      </c>
      <c r="G148" s="225">
        <f t="shared" si="59"/>
        <v>3385585076.90873</v>
      </c>
      <c r="H148" s="225">
        <f t="shared" si="59"/>
        <v>3310297076.90873</v>
      </c>
      <c r="I148" s="225">
        <f t="shared" si="59"/>
        <v>3469933076.90873</v>
      </c>
      <c r="J148" s="225">
        <f t="shared" si="59"/>
        <v>3383149076.90873</v>
      </c>
      <c r="K148" s="231">
        <f t="shared" si="59"/>
        <v>3334125084.4642859</v>
      </c>
    </row>
    <row r="149" spans="2:11" s="161" customFormat="1" ht="23.1" customHeight="1">
      <c r="B149" s="283"/>
      <c r="C149" s="227" t="s">
        <v>43</v>
      </c>
      <c r="D149" s="228">
        <f t="shared" ref="D149:K149" si="60">D148-D147</f>
        <v>-128387462.55555534</v>
      </c>
      <c r="E149" s="228">
        <f t="shared" si="60"/>
        <v>221165337.44444418</v>
      </c>
      <c r="F149" s="228">
        <f t="shared" si="60"/>
        <v>122885337.44444418</v>
      </c>
      <c r="G149" s="228">
        <f t="shared" si="60"/>
        <v>52469337.44444418</v>
      </c>
      <c r="H149" s="228">
        <f t="shared" si="60"/>
        <v>-22818662.55555582</v>
      </c>
      <c r="I149" s="228">
        <f t="shared" si="60"/>
        <v>136817337.44444418</v>
      </c>
      <c r="J149" s="228">
        <f t="shared" si="60"/>
        <v>50033337.44444418</v>
      </c>
      <c r="K149" s="232">
        <f t="shared" si="60"/>
        <v>1009345</v>
      </c>
    </row>
    <row r="150" spans="2:11" s="161" customFormat="1" ht="23.1" customHeight="1">
      <c r="B150" s="284"/>
      <c r="C150" s="226" t="s">
        <v>8</v>
      </c>
      <c r="D150" s="131"/>
      <c r="E150" s="226"/>
      <c r="F150" s="225">
        <f>F148/23000</f>
        <v>150260.9163873361</v>
      </c>
      <c r="G150" s="226"/>
      <c r="H150" s="226"/>
      <c r="I150" s="226"/>
      <c r="J150" s="226"/>
      <c r="K150" s="234"/>
    </row>
    <row r="151" spans="2:11">
      <c r="K151" s="195"/>
    </row>
    <row r="152" spans="2:11">
      <c r="D152" s="127">
        <f>D149/23000</f>
        <v>-5582.0635893719718</v>
      </c>
      <c r="E152" s="21">
        <f t="shared" ref="E152:K152" si="61">E149/23000</f>
        <v>9615.8842367149646</v>
      </c>
      <c r="F152" s="127">
        <f t="shared" si="61"/>
        <v>5342.8407584540946</v>
      </c>
      <c r="G152" s="21">
        <f t="shared" si="61"/>
        <v>2281.2755410627906</v>
      </c>
      <c r="H152" s="127">
        <f t="shared" si="61"/>
        <v>-992.11576328503565</v>
      </c>
      <c r="I152" s="21">
        <f t="shared" si="61"/>
        <v>5948.5798888888776</v>
      </c>
      <c r="J152" s="21">
        <f t="shared" si="61"/>
        <v>2175.3624975845296</v>
      </c>
      <c r="K152" s="235">
        <f t="shared" si="61"/>
        <v>43.884565217391305</v>
      </c>
    </row>
    <row r="153" spans="2:11">
      <c r="D153" s="21"/>
      <c r="K153" s="195"/>
    </row>
    <row r="154" spans="2:11">
      <c r="K154" s="195"/>
    </row>
    <row r="155" spans="2:11" ht="23.1" customHeight="1">
      <c r="B155" s="314" t="s">
        <v>150</v>
      </c>
      <c r="C155" s="314"/>
      <c r="D155" s="201" t="s">
        <v>97</v>
      </c>
      <c r="E155" s="201" t="s">
        <v>98</v>
      </c>
      <c r="F155" s="201" t="s">
        <v>99</v>
      </c>
      <c r="G155" s="201" t="s">
        <v>100</v>
      </c>
      <c r="H155" s="201" t="s">
        <v>101</v>
      </c>
      <c r="I155" s="201" t="s">
        <v>102</v>
      </c>
      <c r="J155" s="201" t="s">
        <v>103</v>
      </c>
      <c r="K155" s="201" t="s">
        <v>117</v>
      </c>
    </row>
    <row r="156" spans="2:11" ht="65.25" customHeight="1">
      <c r="B156" s="314"/>
      <c r="C156" s="314"/>
      <c r="D156" s="229" t="s">
        <v>113</v>
      </c>
      <c r="E156" s="222" t="s">
        <v>130</v>
      </c>
      <c r="F156" s="222" t="s">
        <v>131</v>
      </c>
      <c r="G156" s="222" t="s">
        <v>132</v>
      </c>
      <c r="H156" s="223" t="s">
        <v>133</v>
      </c>
      <c r="I156" s="222" t="s">
        <v>114</v>
      </c>
      <c r="J156" s="223" t="s">
        <v>115</v>
      </c>
      <c r="K156" s="222" t="s">
        <v>116</v>
      </c>
    </row>
    <row r="157" spans="2:11" s="161" customFormat="1" ht="23.1" customHeight="1">
      <c r="B157" s="282" t="s">
        <v>10</v>
      </c>
      <c r="C157" s="226" t="s">
        <v>3</v>
      </c>
      <c r="D157" s="225">
        <f>$G$50+$G$51+$G$59+$G$83+$G$125</f>
        <v>1345458283.4642859</v>
      </c>
      <c r="E157" s="225">
        <f t="shared" ref="E157:K157" si="62">$D$135</f>
        <v>1345458283.4642859</v>
      </c>
      <c r="F157" s="225">
        <f t="shared" si="62"/>
        <v>1345458283.4642859</v>
      </c>
      <c r="G157" s="225">
        <f t="shared" si="62"/>
        <v>1345458283.4642859</v>
      </c>
      <c r="H157" s="225">
        <f t="shared" si="62"/>
        <v>1345458283.4642859</v>
      </c>
      <c r="I157" s="225">
        <f t="shared" si="62"/>
        <v>1345458283.4642859</v>
      </c>
      <c r="J157" s="225">
        <f t="shared" si="62"/>
        <v>1345458283.4642859</v>
      </c>
      <c r="K157" s="231">
        <f t="shared" si="62"/>
        <v>1345458283.4642859</v>
      </c>
    </row>
    <row r="158" spans="2:11" s="161" customFormat="1" ht="23.1" customHeight="1">
      <c r="B158" s="283"/>
      <c r="C158" s="226" t="s">
        <v>42</v>
      </c>
      <c r="D158" s="225">
        <f>$I$50+$I$51+I77+$I$83+$I$125</f>
        <v>1268952878.4642859</v>
      </c>
      <c r="E158" s="225">
        <f>$I$50+$I$51+$I$77+I91+$I$125</f>
        <v>1395792078.4642856</v>
      </c>
      <c r="F158" s="225">
        <f>$I$50+$I$51+$I$77+I92+$I$125</f>
        <v>1363032078.4642856</v>
      </c>
      <c r="G158" s="225">
        <f>$I$50+$I$51+$I$77+I93+$I$125</f>
        <v>1339560078.4642856</v>
      </c>
      <c r="H158" s="225">
        <f>$I$50+$I$51+$I$77+I94+$I$125</f>
        <v>1314464078.4642856</v>
      </c>
      <c r="I158" s="225">
        <f>$I$50+$I$51+$I$77+I95+$I$125</f>
        <v>1367676078.4642856</v>
      </c>
      <c r="J158" s="225">
        <f>$I$50+$I$51+$I$77+I96+$I$125</f>
        <v>1338748078.4642856</v>
      </c>
      <c r="K158" s="231">
        <f>D158</f>
        <v>1268952878.4642859</v>
      </c>
    </row>
    <row r="159" spans="2:11" s="161" customFormat="1" ht="23.1" customHeight="1">
      <c r="B159" s="283"/>
      <c r="C159" s="226" t="s">
        <v>43</v>
      </c>
      <c r="D159" s="225">
        <f t="shared" ref="D159:K159" si="63">D158-D157</f>
        <v>-76505405</v>
      </c>
      <c r="E159" s="225">
        <f t="shared" si="63"/>
        <v>50333794.999999762</v>
      </c>
      <c r="F159" s="225">
        <f t="shared" si="63"/>
        <v>17573794.999999762</v>
      </c>
      <c r="G159" s="225">
        <f t="shared" si="63"/>
        <v>-5898205.0000002384</v>
      </c>
      <c r="H159" s="225">
        <f t="shared" si="63"/>
        <v>-30994205.000000238</v>
      </c>
      <c r="I159" s="225">
        <f t="shared" si="63"/>
        <v>22217794.999999762</v>
      </c>
      <c r="J159" s="225">
        <f t="shared" si="63"/>
        <v>-6710205.0000002384</v>
      </c>
      <c r="K159" s="231">
        <f t="shared" si="63"/>
        <v>-76505405</v>
      </c>
    </row>
    <row r="160" spans="2:11" s="161" customFormat="1" ht="23.1" customHeight="1">
      <c r="B160" s="284"/>
      <c r="C160" s="226" t="s">
        <v>8</v>
      </c>
      <c r="D160" s="226"/>
      <c r="E160" s="226"/>
      <c r="F160" s="226"/>
      <c r="G160" s="226"/>
      <c r="H160" s="226"/>
      <c r="I160" s="226"/>
      <c r="J160" s="226"/>
      <c r="K160" s="234"/>
    </row>
    <row r="161" spans="2:11" s="161" customFormat="1" ht="23.1" customHeight="1">
      <c r="B161" s="282" t="s">
        <v>15</v>
      </c>
      <c r="C161" s="226" t="s">
        <v>3</v>
      </c>
      <c r="D161" s="225">
        <f>$G$56+$G$60+$G$63+$G$97+$G$126</f>
        <v>1335895977</v>
      </c>
      <c r="E161" s="225">
        <f t="shared" ref="E161:K161" si="64">$D$139</f>
        <v>1335895977</v>
      </c>
      <c r="F161" s="225">
        <f t="shared" si="64"/>
        <v>1335895977</v>
      </c>
      <c r="G161" s="225">
        <f t="shared" si="64"/>
        <v>1335895977</v>
      </c>
      <c r="H161" s="225">
        <f t="shared" si="64"/>
        <v>1335895977</v>
      </c>
      <c r="I161" s="225">
        <f t="shared" si="64"/>
        <v>1335895977</v>
      </c>
      <c r="J161" s="225">
        <f t="shared" si="64"/>
        <v>1335895977</v>
      </c>
      <c r="K161" s="231">
        <f t="shared" si="64"/>
        <v>1335895977</v>
      </c>
    </row>
    <row r="162" spans="2:11" s="161" customFormat="1" ht="23.1" customHeight="1">
      <c r="B162" s="283"/>
      <c r="C162" s="226" t="s">
        <v>42</v>
      </c>
      <c r="D162" s="225">
        <f>$I$52+$I$78+$I$81+I97+$I$126</f>
        <v>1264568531.9682541</v>
      </c>
      <c r="E162" s="225">
        <f>$I$52+$I$78+$I$81+I105+$I$126</f>
        <v>1432073731.9682541</v>
      </c>
      <c r="F162" s="225">
        <f>$I$52+$I$78+$I$81+I106+$I$126</f>
        <v>1382933731.9682541</v>
      </c>
      <c r="G162" s="225">
        <f>$I$52+$I$78+$I$81+I107+$I$126</f>
        <v>1347725731.9682541</v>
      </c>
      <c r="H162" s="225">
        <f>$I$52+$I$78+$I$81+I108+$I$126</f>
        <v>1310081731.9682541</v>
      </c>
      <c r="I162" s="225">
        <f>$I$52+$I$78+$I$81+I109+$I$126</f>
        <v>1389899731.9682541</v>
      </c>
      <c r="J162" s="225">
        <f>$I$52+$I$78+$I$81+I110+$I$126</f>
        <v>1346507731.9682541</v>
      </c>
      <c r="K162" s="231">
        <v>1304937211.96825</v>
      </c>
    </row>
    <row r="163" spans="2:11" s="161" customFormat="1" ht="23.1" customHeight="1">
      <c r="B163" s="283"/>
      <c r="C163" s="226" t="s">
        <v>43</v>
      </c>
      <c r="D163" s="225">
        <f t="shared" ref="D163:K163" si="65">D162-D161</f>
        <v>-71327445.031745911</v>
      </c>
      <c r="E163" s="225">
        <f t="shared" si="65"/>
        <v>96177754.968254089</v>
      </c>
      <c r="F163" s="225">
        <f t="shared" si="65"/>
        <v>47037754.968254089</v>
      </c>
      <c r="G163" s="225">
        <f t="shared" si="65"/>
        <v>11829754.968254089</v>
      </c>
      <c r="H163" s="225">
        <f t="shared" si="65"/>
        <v>-25814245.031745911</v>
      </c>
      <c r="I163" s="225">
        <f t="shared" si="65"/>
        <v>54003754.968254089</v>
      </c>
      <c r="J163" s="225">
        <f t="shared" si="65"/>
        <v>10611754.968254089</v>
      </c>
      <c r="K163" s="231">
        <f t="shared" si="65"/>
        <v>-30958765.031749964</v>
      </c>
    </row>
    <row r="164" spans="2:11" s="161" customFormat="1" ht="23.1" customHeight="1">
      <c r="B164" s="284"/>
      <c r="C164" s="226" t="s">
        <v>8</v>
      </c>
      <c r="D164" s="226"/>
      <c r="E164" s="226"/>
      <c r="F164" s="226"/>
      <c r="G164" s="226"/>
      <c r="H164" s="226"/>
      <c r="I164" s="226"/>
      <c r="J164" s="226"/>
      <c r="K164" s="234"/>
    </row>
    <row r="165" spans="2:11" s="161" customFormat="1" ht="23.1" customHeight="1">
      <c r="B165" s="282" t="s">
        <v>17</v>
      </c>
      <c r="C165" s="226" t="s">
        <v>3</v>
      </c>
      <c r="D165" s="225">
        <f>$G$53+$G$61+$G$62+$G$111+$G$127</f>
        <v>651761479</v>
      </c>
      <c r="E165" s="225">
        <f t="shared" ref="E165:K165" si="66">$D$143</f>
        <v>651761479</v>
      </c>
      <c r="F165" s="225">
        <f t="shared" si="66"/>
        <v>651761479</v>
      </c>
      <c r="G165" s="225">
        <f t="shared" si="66"/>
        <v>651761479</v>
      </c>
      <c r="H165" s="225">
        <f t="shared" si="66"/>
        <v>651761479</v>
      </c>
      <c r="I165" s="225">
        <f t="shared" si="66"/>
        <v>651761479</v>
      </c>
      <c r="J165" s="225">
        <f t="shared" si="66"/>
        <v>651761479</v>
      </c>
      <c r="K165" s="231">
        <f t="shared" si="66"/>
        <v>651761479</v>
      </c>
    </row>
    <row r="166" spans="2:11" s="161" customFormat="1" ht="23.1" customHeight="1">
      <c r="B166" s="283"/>
      <c r="C166" s="226" t="s">
        <v>42</v>
      </c>
      <c r="D166" s="225">
        <f>$I$53+$I$79+$I$80+I111+$I$127</f>
        <v>637399718.66666675</v>
      </c>
      <c r="E166" s="225">
        <f>$I$53+$I$79+$I$80+I119+$I$127</f>
        <v>692608118.66666663</v>
      </c>
      <c r="F166" s="225">
        <f>$I$53+$I$79+$I$80+I120+$I$127</f>
        <v>676228118.66666663</v>
      </c>
      <c r="G166" s="225">
        <f>$I$53+$I$79+$I$80+I121+$I$127</f>
        <v>664492118.66666663</v>
      </c>
      <c r="H166" s="225">
        <f>$I$53+$I$79+$I$80+I122+$I$127</f>
        <v>651944118.66666663</v>
      </c>
      <c r="I166" s="225">
        <f>$I$53+$I$79+$I$80+I123+$I$127</f>
        <v>678550118.66666663</v>
      </c>
      <c r="J166" s="225">
        <f>$I$53+$I$79+$I$80+I124+$I$127</f>
        <v>664086118.66666663</v>
      </c>
      <c r="K166" s="231">
        <v>659677598.66666698</v>
      </c>
    </row>
    <row r="167" spans="2:11" s="161" customFormat="1" ht="23.1" customHeight="1">
      <c r="B167" s="283"/>
      <c r="C167" s="226" t="s">
        <v>43</v>
      </c>
      <c r="D167" s="225">
        <f t="shared" ref="D167:K167" si="67">D166-D165</f>
        <v>-14361760.333333254</v>
      </c>
      <c r="E167" s="225">
        <f t="shared" si="67"/>
        <v>40846639.666666627</v>
      </c>
      <c r="F167" s="225">
        <f t="shared" si="67"/>
        <v>24466639.666666627</v>
      </c>
      <c r="G167" s="225">
        <f t="shared" si="67"/>
        <v>12730639.666666627</v>
      </c>
      <c r="H167" s="225">
        <f t="shared" si="67"/>
        <v>182639.66666662693</v>
      </c>
      <c r="I167" s="225">
        <f t="shared" si="67"/>
        <v>26788639.666666627</v>
      </c>
      <c r="J167" s="225">
        <f t="shared" si="67"/>
        <v>12324639.666666627</v>
      </c>
      <c r="K167" s="231">
        <f t="shared" si="67"/>
        <v>7916119.6666669846</v>
      </c>
    </row>
    <row r="168" spans="2:11" s="161" customFormat="1" ht="23.1" customHeight="1">
      <c r="B168" s="284"/>
      <c r="C168" s="226" t="s">
        <v>8</v>
      </c>
      <c r="D168" s="226"/>
      <c r="E168" s="226"/>
      <c r="F168" s="226"/>
      <c r="G168" s="226"/>
      <c r="H168" s="226"/>
      <c r="I168" s="226"/>
      <c r="J168" s="226"/>
      <c r="K168" s="234"/>
    </row>
    <row r="169" spans="2:11" s="161" customFormat="1" ht="23.1" customHeight="1">
      <c r="B169" s="282" t="s">
        <v>111</v>
      </c>
      <c r="C169" s="226" t="s">
        <v>3</v>
      </c>
      <c r="D169" s="225">
        <f>$D$135+$D$139+$D$143</f>
        <v>3333115739.4642859</v>
      </c>
      <c r="E169" s="225">
        <f t="shared" ref="E169:K169" si="68">E157+E161+E165</f>
        <v>3333115739.4642859</v>
      </c>
      <c r="F169" s="225">
        <f t="shared" si="68"/>
        <v>3333115739.4642859</v>
      </c>
      <c r="G169" s="225">
        <f t="shared" si="68"/>
        <v>3333115739.4642859</v>
      </c>
      <c r="H169" s="225">
        <f t="shared" si="68"/>
        <v>3333115739.4642859</v>
      </c>
      <c r="I169" s="225">
        <f t="shared" si="68"/>
        <v>3333115739.4642859</v>
      </c>
      <c r="J169" s="225">
        <f t="shared" si="68"/>
        <v>3333115739.4642859</v>
      </c>
      <c r="K169" s="231">
        <f t="shared" si="68"/>
        <v>3333115739.4642859</v>
      </c>
    </row>
    <row r="170" spans="2:11" s="161" customFormat="1" ht="23.1" customHeight="1">
      <c r="B170" s="283"/>
      <c r="C170" s="226" t="s">
        <v>42</v>
      </c>
      <c r="D170" s="225">
        <f t="shared" ref="D170:K170" si="69">D158+D162+D166</f>
        <v>3170921129.0992069</v>
      </c>
      <c r="E170" s="225">
        <f t="shared" si="69"/>
        <v>3520473929.0992064</v>
      </c>
      <c r="F170" s="225">
        <f t="shared" si="69"/>
        <v>3422193929.0992064</v>
      </c>
      <c r="G170" s="225">
        <f t="shared" si="69"/>
        <v>3351777929.0992064</v>
      </c>
      <c r="H170" s="225">
        <f t="shared" si="69"/>
        <v>3276489929.0992064</v>
      </c>
      <c r="I170" s="225">
        <f t="shared" si="69"/>
        <v>3436125929.0992064</v>
      </c>
      <c r="J170" s="225">
        <f t="shared" si="69"/>
        <v>3349341929.0992064</v>
      </c>
      <c r="K170" s="231">
        <f t="shared" si="69"/>
        <v>3233567689.0992031</v>
      </c>
    </row>
    <row r="171" spans="2:11" s="161" customFormat="1" ht="23.1" customHeight="1">
      <c r="B171" s="283"/>
      <c r="C171" s="226" t="s">
        <v>43</v>
      </c>
      <c r="D171" s="225">
        <f t="shared" ref="D171:K171" si="70">D170-D169</f>
        <v>-162194610.36507893</v>
      </c>
      <c r="E171" s="225">
        <f t="shared" si="70"/>
        <v>187358189.6349206</v>
      </c>
      <c r="F171" s="225">
        <f t="shared" si="70"/>
        <v>89078189.634920597</v>
      </c>
      <c r="G171" s="225">
        <f t="shared" si="70"/>
        <v>18662189.634920597</v>
      </c>
      <c r="H171" s="225">
        <f t="shared" si="70"/>
        <v>-56625810.365079403</v>
      </c>
      <c r="I171" s="225">
        <f t="shared" si="70"/>
        <v>103010189.6349206</v>
      </c>
      <c r="J171" s="225">
        <f t="shared" si="70"/>
        <v>16226189.634920597</v>
      </c>
      <c r="K171" s="231">
        <f t="shared" si="70"/>
        <v>-99548050.365082741</v>
      </c>
    </row>
    <row r="172" spans="2:11" s="161" customFormat="1" ht="23.1" customHeight="1">
      <c r="B172" s="284"/>
      <c r="C172" s="226" t="s">
        <v>8</v>
      </c>
      <c r="D172" s="226"/>
      <c r="E172" s="226"/>
      <c r="F172" s="225">
        <f>F170/23000</f>
        <v>148791.04039561766</v>
      </c>
      <c r="G172" s="226"/>
      <c r="H172" s="226"/>
      <c r="I172" s="226"/>
      <c r="J172" s="226"/>
      <c r="K172" s="234"/>
    </row>
    <row r="174" spans="2:11">
      <c r="B174" s="21">
        <f>D169/23000</f>
        <v>144918.07562888198</v>
      </c>
      <c r="D174" s="21">
        <f t="shared" ref="D174:K174" si="71">D171/23000</f>
        <v>-7051.9395810903879</v>
      </c>
      <c r="E174" s="21">
        <f t="shared" si="71"/>
        <v>8146.0082449965475</v>
      </c>
      <c r="F174" s="242">
        <f>F171/23000</f>
        <v>3872.964766735678</v>
      </c>
      <c r="G174" s="21">
        <f t="shared" si="71"/>
        <v>811.39954934437378</v>
      </c>
      <c r="H174" s="21">
        <f t="shared" si="71"/>
        <v>-2461.9917550034525</v>
      </c>
      <c r="I174" s="21">
        <f t="shared" si="71"/>
        <v>4478.7038971704606</v>
      </c>
      <c r="J174" s="21">
        <f t="shared" si="71"/>
        <v>705.48650586611291</v>
      </c>
      <c r="K174" s="21">
        <f t="shared" si="71"/>
        <v>-4328.1761028296842</v>
      </c>
    </row>
    <row r="176" spans="2:11">
      <c r="D176" s="21">
        <f>D174-D152</f>
        <v>-1469.8759917184161</v>
      </c>
      <c r="E176" s="21"/>
    </row>
    <row r="177" spans="3:11" hidden="1"/>
    <row r="178" spans="3:11" hidden="1"/>
    <row r="179" spans="3:11" hidden="1"/>
    <row r="180" spans="3:11" hidden="1">
      <c r="D180" s="201" t="s">
        <v>97</v>
      </c>
      <c r="E180" s="201" t="s">
        <v>98</v>
      </c>
      <c r="F180" s="201" t="s">
        <v>99</v>
      </c>
      <c r="G180" s="201" t="s">
        <v>100</v>
      </c>
      <c r="H180" s="201" t="s">
        <v>101</v>
      </c>
      <c r="I180" s="201" t="s">
        <v>102</v>
      </c>
      <c r="J180" s="201" t="s">
        <v>103</v>
      </c>
      <c r="K180" s="201" t="s">
        <v>117</v>
      </c>
    </row>
    <row r="181" spans="3:11" hidden="1">
      <c r="C181" s="252" t="s">
        <v>22</v>
      </c>
      <c r="D181" s="220">
        <f t="shared" ref="D181:K181" si="72">D149</f>
        <v>-128387462.55555534</v>
      </c>
      <c r="E181" s="220">
        <f t="shared" si="72"/>
        <v>221165337.44444418</v>
      </c>
      <c r="F181" s="220">
        <f t="shared" si="72"/>
        <v>122885337.44444418</v>
      </c>
      <c r="G181" s="220">
        <f t="shared" si="72"/>
        <v>52469337.44444418</v>
      </c>
      <c r="H181" s="220">
        <f t="shared" si="72"/>
        <v>-22818662.55555582</v>
      </c>
      <c r="I181" s="220">
        <f t="shared" si="72"/>
        <v>136817337.44444418</v>
      </c>
      <c r="J181" s="220">
        <f t="shared" si="72"/>
        <v>50033337.44444418</v>
      </c>
      <c r="K181" s="220">
        <f t="shared" si="72"/>
        <v>1009345</v>
      </c>
    </row>
    <row r="182" spans="3:11" hidden="1">
      <c r="C182" s="252" t="s">
        <v>30</v>
      </c>
      <c r="D182" s="220">
        <f t="shared" ref="D182:K182" si="73">D171</f>
        <v>-162194610.36507893</v>
      </c>
      <c r="E182" s="220">
        <f t="shared" si="73"/>
        <v>187358189.6349206</v>
      </c>
      <c r="F182" s="220">
        <f t="shared" si="73"/>
        <v>89078189.634920597</v>
      </c>
      <c r="G182" s="220">
        <f t="shared" si="73"/>
        <v>18662189.634920597</v>
      </c>
      <c r="H182" s="220">
        <f t="shared" si="73"/>
        <v>-56625810.365079403</v>
      </c>
      <c r="I182" s="220">
        <f t="shared" si="73"/>
        <v>103010189.6349206</v>
      </c>
      <c r="J182" s="220">
        <f t="shared" si="73"/>
        <v>16226189.634920597</v>
      </c>
      <c r="K182" s="220">
        <f t="shared" si="73"/>
        <v>-99548050.365082741</v>
      </c>
    </row>
    <row r="183" spans="3:11" hidden="1">
      <c r="C183" s="7" t="s">
        <v>43</v>
      </c>
      <c r="D183" s="18">
        <f t="shared" ref="D183:K183" si="74">D182-D181</f>
        <v>-33807147.809523582</v>
      </c>
      <c r="E183" s="18">
        <f t="shared" si="74"/>
        <v>-33807147.809523582</v>
      </c>
      <c r="F183" s="18">
        <f t="shared" si="74"/>
        <v>-33807147.809523582</v>
      </c>
      <c r="G183" s="18">
        <f t="shared" si="74"/>
        <v>-33807147.809523582</v>
      </c>
      <c r="H183" s="18">
        <f t="shared" si="74"/>
        <v>-33807147.809523582</v>
      </c>
      <c r="I183" s="18">
        <f t="shared" si="74"/>
        <v>-33807147.809523582</v>
      </c>
      <c r="J183" s="18">
        <f t="shared" si="74"/>
        <v>-33807147.809523582</v>
      </c>
      <c r="K183" s="18">
        <f t="shared" si="74"/>
        <v>-100557395.36508274</v>
      </c>
    </row>
    <row r="184" spans="3:11" hidden="1"/>
    <row r="185" spans="3:11" hidden="1">
      <c r="D185" s="21">
        <f>D183/23000</f>
        <v>-1469.8759917184166</v>
      </c>
    </row>
    <row r="186" spans="3:11" hidden="1"/>
    <row r="188" spans="3:11" hidden="1">
      <c r="F188" t="s">
        <v>118</v>
      </c>
    </row>
    <row r="189" spans="3:11" hidden="1">
      <c r="D189" s="131" t="s">
        <v>95</v>
      </c>
      <c r="E189" s="131" t="s">
        <v>3</v>
      </c>
      <c r="F189" s="131" t="s">
        <v>42</v>
      </c>
      <c r="G189" s="131" t="s">
        <v>43</v>
      </c>
      <c r="H189" s="230" t="s">
        <v>151</v>
      </c>
      <c r="I189" s="118"/>
    </row>
    <row r="190" spans="3:11" hidden="1">
      <c r="D190" s="7" t="s">
        <v>10</v>
      </c>
      <c r="E190" s="220">
        <f>D157</f>
        <v>1345458283.4642859</v>
      </c>
      <c r="F190" s="220">
        <f>D136</f>
        <v>1282682642.4642859</v>
      </c>
      <c r="G190" s="220">
        <f t="shared" ref="G190:G193" si="75">F190-E190</f>
        <v>-62775641</v>
      </c>
      <c r="H190" t="s">
        <v>113</v>
      </c>
    </row>
    <row r="191" spans="3:11" hidden="1">
      <c r="D191" s="7" t="s">
        <v>15</v>
      </c>
      <c r="E191" s="220">
        <f>D161</f>
        <v>1335895977</v>
      </c>
      <c r="F191" s="220">
        <f>K140</f>
        <v>1312839740</v>
      </c>
      <c r="G191" s="220">
        <f t="shared" si="75"/>
        <v>-23056237</v>
      </c>
      <c r="H191" t="s">
        <v>119</v>
      </c>
    </row>
    <row r="192" spans="3:11" hidden="1">
      <c r="D192" s="7" t="s">
        <v>17</v>
      </c>
      <c r="E192" s="220">
        <f>D165</f>
        <v>651761479</v>
      </c>
      <c r="F192" s="220">
        <f>K144</f>
        <v>682643380</v>
      </c>
      <c r="G192" s="220">
        <f t="shared" si="75"/>
        <v>30881901</v>
      </c>
      <c r="H192" t="s">
        <v>120</v>
      </c>
    </row>
    <row r="193" spans="4:9" hidden="1">
      <c r="D193" s="7" t="s">
        <v>111</v>
      </c>
      <c r="E193" s="220">
        <f>SUM(E190:E192)</f>
        <v>3333115739.4642859</v>
      </c>
      <c r="F193" s="220">
        <f>SUM(F190:F192)</f>
        <v>3278165762.4642859</v>
      </c>
      <c r="G193" s="220">
        <f t="shared" si="75"/>
        <v>-54949977</v>
      </c>
    </row>
    <row r="194" spans="4:9" hidden="1">
      <c r="G194" s="21">
        <f>G193/23000</f>
        <v>-2389.1294347826088</v>
      </c>
    </row>
    <row r="195" spans="4:9" hidden="1"/>
    <row r="196" spans="4:9" hidden="1"/>
    <row r="197" spans="4:9" hidden="1">
      <c r="D197" s="131" t="s">
        <v>95</v>
      </c>
      <c r="E197" s="131" t="s">
        <v>3</v>
      </c>
      <c r="F197" s="131" t="s">
        <v>42</v>
      </c>
      <c r="G197" s="131" t="s">
        <v>43</v>
      </c>
      <c r="H197" s="230" t="s">
        <v>152</v>
      </c>
      <c r="I197" s="118"/>
    </row>
    <row r="198" spans="4:9" hidden="1">
      <c r="D198" s="7" t="s">
        <v>10</v>
      </c>
      <c r="E198" s="220">
        <f t="shared" ref="E198:E200" si="76">E190</f>
        <v>1345458283.4642859</v>
      </c>
      <c r="F198" s="220">
        <f>D158</f>
        <v>1268952878.4642859</v>
      </c>
      <c r="G198" s="220">
        <f t="shared" ref="G198:G201" si="77">F198-E198</f>
        <v>-76505405</v>
      </c>
      <c r="H198" t="s">
        <v>113</v>
      </c>
    </row>
    <row r="199" spans="4:9" hidden="1">
      <c r="D199" s="7" t="s">
        <v>15</v>
      </c>
      <c r="E199" s="220">
        <f t="shared" si="76"/>
        <v>1335895977</v>
      </c>
      <c r="F199" s="220">
        <f>K162</f>
        <v>1304937211.96825</v>
      </c>
      <c r="G199" s="220">
        <f t="shared" si="77"/>
        <v>-30958765.031749964</v>
      </c>
      <c r="H199" t="s">
        <v>119</v>
      </c>
    </row>
    <row r="200" spans="4:9" hidden="1">
      <c r="D200" s="7" t="s">
        <v>17</v>
      </c>
      <c r="E200" s="220">
        <f t="shared" si="76"/>
        <v>651761479</v>
      </c>
      <c r="F200" s="220">
        <f>K166</f>
        <v>659677598.66666698</v>
      </c>
      <c r="G200" s="220">
        <f t="shared" si="77"/>
        <v>7916119.6666669846</v>
      </c>
      <c r="H200" t="s">
        <v>120</v>
      </c>
    </row>
    <row r="201" spans="4:9" hidden="1">
      <c r="D201" s="7" t="s">
        <v>111</v>
      </c>
      <c r="E201" s="220">
        <f>SUM(E198:E200)</f>
        <v>3333115739.4642859</v>
      </c>
      <c r="F201" s="220">
        <f>SUM(F198:F200)</f>
        <v>3233567689.0992031</v>
      </c>
      <c r="G201" s="220">
        <f t="shared" si="77"/>
        <v>-99548050.365082741</v>
      </c>
    </row>
    <row r="202" spans="4:9" hidden="1">
      <c r="G202" s="21">
        <f>G201/23000</f>
        <v>-4328.1761028296842</v>
      </c>
    </row>
    <row r="203" spans="4:9" hidden="1"/>
    <row r="204" spans="4:9" hidden="1"/>
    <row r="205" spans="4:9" hidden="1">
      <c r="G205" s="21">
        <f>G202-G194</f>
        <v>-1939.0466680470754</v>
      </c>
    </row>
    <row r="206" spans="4:9" hidden="1"/>
    <row r="207" spans="4:9" hidden="1"/>
    <row r="208" spans="4:9" hidden="1"/>
    <row r="209" spans="3:11" hidden="1">
      <c r="C209" s="300" t="s">
        <v>95</v>
      </c>
      <c r="D209" s="300" t="s">
        <v>96</v>
      </c>
      <c r="E209" s="236" t="s">
        <v>97</v>
      </c>
      <c r="F209" s="236" t="s">
        <v>98</v>
      </c>
      <c r="G209" s="236" t="s">
        <v>99</v>
      </c>
      <c r="H209" s="236" t="s">
        <v>100</v>
      </c>
      <c r="I209" s="236" t="s">
        <v>101</v>
      </c>
      <c r="J209" s="236" t="s">
        <v>102</v>
      </c>
      <c r="K209" s="236" t="s">
        <v>103</v>
      </c>
    </row>
    <row r="210" spans="3:11" ht="30" hidden="1">
      <c r="C210" s="301"/>
      <c r="D210" s="301"/>
      <c r="E210" s="168" t="s">
        <v>104</v>
      </c>
      <c r="F210" s="237" t="s">
        <v>153</v>
      </c>
      <c r="G210" s="237" t="s">
        <v>154</v>
      </c>
      <c r="H210" s="237" t="s">
        <v>155</v>
      </c>
      <c r="I210" s="237" t="s">
        <v>156</v>
      </c>
      <c r="J210" s="237" t="s">
        <v>157</v>
      </c>
      <c r="K210" s="237" t="s">
        <v>157</v>
      </c>
    </row>
    <row r="211" spans="3:11" hidden="1">
      <c r="C211" s="168" t="s">
        <v>10</v>
      </c>
      <c r="D211" s="238">
        <f>+D135</f>
        <v>1345458283.4642859</v>
      </c>
      <c r="E211" s="239">
        <f t="shared" ref="E211:K211" si="78">+D136</f>
        <v>1282682642.4642859</v>
      </c>
      <c r="F211" s="239">
        <f t="shared" si="78"/>
        <v>1409521842.4642856</v>
      </c>
      <c r="G211" s="239">
        <f t="shared" si="78"/>
        <v>1376761842.4642856</v>
      </c>
      <c r="H211" s="239">
        <f t="shared" si="78"/>
        <v>1353289842.4642856</v>
      </c>
      <c r="I211" s="239">
        <f t="shared" si="78"/>
        <v>1328193842.4642856</v>
      </c>
      <c r="J211" s="239">
        <f t="shared" si="78"/>
        <v>1381405842.4642856</v>
      </c>
      <c r="K211" s="239">
        <f t="shared" si="78"/>
        <v>1352477842.4642856</v>
      </c>
    </row>
    <row r="212" spans="3:11" hidden="1">
      <c r="C212" s="168" t="s">
        <v>15</v>
      </c>
      <c r="D212" s="238">
        <f>+D139</f>
        <v>1335895977</v>
      </c>
      <c r="E212" s="239">
        <f t="shared" ref="E212:K212" si="79">+D140</f>
        <v>1274644723.7777777</v>
      </c>
      <c r="F212" s="239">
        <f t="shared" si="79"/>
        <v>1442149923.7777777</v>
      </c>
      <c r="G212" s="239">
        <f t="shared" si="79"/>
        <v>1393009923.7777777</v>
      </c>
      <c r="H212" s="239">
        <f t="shared" si="79"/>
        <v>1357801923.7777777</v>
      </c>
      <c r="I212" s="239">
        <f t="shared" si="79"/>
        <v>1320157923.7777777</v>
      </c>
      <c r="J212" s="239">
        <f t="shared" si="79"/>
        <v>1399975923.7777777</v>
      </c>
      <c r="K212" s="239">
        <f t="shared" si="79"/>
        <v>1356583923.7777777</v>
      </c>
    </row>
    <row r="213" spans="3:11" hidden="1">
      <c r="C213" s="168" t="s">
        <v>17</v>
      </c>
      <c r="D213" s="238">
        <f>+D143</f>
        <v>651761479</v>
      </c>
      <c r="E213" s="239">
        <f t="shared" ref="E213:K213" si="80">+D144</f>
        <v>647400910.66666675</v>
      </c>
      <c r="F213" s="239">
        <f t="shared" si="80"/>
        <v>702609310.66666663</v>
      </c>
      <c r="G213" s="239">
        <f t="shared" si="80"/>
        <v>686229310.66666663</v>
      </c>
      <c r="H213" s="239">
        <f t="shared" si="80"/>
        <v>674493310.66666663</v>
      </c>
      <c r="I213" s="239">
        <f t="shared" si="80"/>
        <v>661945310.66666663</v>
      </c>
      <c r="J213" s="239">
        <f t="shared" si="80"/>
        <v>688551310.66666663</v>
      </c>
      <c r="K213" s="239">
        <f t="shared" si="80"/>
        <v>674087310.66666663</v>
      </c>
    </row>
    <row r="214" spans="3:11" hidden="1">
      <c r="C214" s="168" t="s">
        <v>111</v>
      </c>
      <c r="D214" s="238">
        <f>D211+D212+D213</f>
        <v>3333115739.4642859</v>
      </c>
      <c r="E214" s="238">
        <f t="shared" ref="E214:K214" si="81">+E211+E212+E213</f>
        <v>3204728276.9087305</v>
      </c>
      <c r="F214" s="238">
        <f t="shared" si="81"/>
        <v>3554281076.90873</v>
      </c>
      <c r="G214" s="238">
        <f t="shared" si="81"/>
        <v>3456001076.90873</v>
      </c>
      <c r="H214" s="238">
        <f t="shared" si="81"/>
        <v>3385585076.90873</v>
      </c>
      <c r="I214" s="238">
        <f t="shared" si="81"/>
        <v>3310297076.90873</v>
      </c>
      <c r="J214" s="238">
        <f t="shared" si="81"/>
        <v>3469933076.90873</v>
      </c>
      <c r="K214" s="238">
        <f t="shared" si="81"/>
        <v>3383149076.90873</v>
      </c>
    </row>
    <row r="215" spans="3:11" hidden="1">
      <c r="C215" s="168"/>
      <c r="D215" s="238">
        <f>+D214/23000</f>
        <v>144918.07562888198</v>
      </c>
      <c r="E215" s="238">
        <f>+E214/23000</f>
        <v>139336.01203951001</v>
      </c>
      <c r="F215" s="238">
        <f t="shared" ref="F215:K215" si="82">+F214/23000</f>
        <v>154533.95986559696</v>
      </c>
      <c r="G215" s="238">
        <f t="shared" si="82"/>
        <v>150260.9163873361</v>
      </c>
      <c r="H215" s="238">
        <f t="shared" si="82"/>
        <v>147199.35116994477</v>
      </c>
      <c r="I215" s="238">
        <f t="shared" si="82"/>
        <v>143925.95986559696</v>
      </c>
      <c r="J215" s="238">
        <f t="shared" si="82"/>
        <v>150866.65551777088</v>
      </c>
      <c r="K215" s="238">
        <f t="shared" si="82"/>
        <v>147093.43812646653</v>
      </c>
    </row>
    <row r="216" spans="3:11" hidden="1">
      <c r="C216" s="168" t="s">
        <v>43</v>
      </c>
      <c r="D216" s="168"/>
      <c r="E216" s="239">
        <f t="shared" ref="E216:K216" si="83">+E214-$D$214</f>
        <v>-128387462.55555534</v>
      </c>
      <c r="F216" s="239">
        <f t="shared" si="83"/>
        <v>221165337.44444418</v>
      </c>
      <c r="G216" s="239">
        <f t="shared" si="83"/>
        <v>122885337.44444418</v>
      </c>
      <c r="H216" s="239">
        <f t="shared" si="83"/>
        <v>52469337.44444418</v>
      </c>
      <c r="I216" s="239">
        <f t="shared" si="83"/>
        <v>-22818662.55555582</v>
      </c>
      <c r="J216" s="239">
        <f t="shared" si="83"/>
        <v>136817337.44444418</v>
      </c>
      <c r="K216" s="239">
        <f t="shared" si="83"/>
        <v>50033337.44444418</v>
      </c>
    </row>
    <row r="217" spans="3:11" hidden="1">
      <c r="C217" s="168"/>
      <c r="D217" s="168" t="s">
        <v>112</v>
      </c>
      <c r="E217" s="239">
        <f>+E216/23000</f>
        <v>-5582.0635893719718</v>
      </c>
      <c r="F217" s="239">
        <f t="shared" ref="F217:K217" si="84">+F216/23000</f>
        <v>9615.8842367149646</v>
      </c>
      <c r="G217" s="239">
        <f t="shared" si="84"/>
        <v>5342.8407584540946</v>
      </c>
      <c r="H217" s="239">
        <f t="shared" si="84"/>
        <v>2281.2755410627906</v>
      </c>
      <c r="I217" s="239">
        <f t="shared" si="84"/>
        <v>-992.11576328503565</v>
      </c>
      <c r="J217" s="239">
        <f t="shared" si="84"/>
        <v>5948.5798888888776</v>
      </c>
      <c r="K217" s="239">
        <f t="shared" si="84"/>
        <v>2175.3624975845296</v>
      </c>
    </row>
    <row r="218" spans="3:11" hidden="1">
      <c r="D218" s="160"/>
      <c r="E218" s="21">
        <f>+E215-$D$215</f>
        <v>-5582.0635893719736</v>
      </c>
      <c r="F218" s="21">
        <f t="shared" ref="F218:K218" si="85">+F215-$D$215</f>
        <v>9615.8842367149773</v>
      </c>
      <c r="G218" s="21">
        <f t="shared" si="85"/>
        <v>5342.8407584541128</v>
      </c>
      <c r="H218" s="21">
        <f t="shared" si="85"/>
        <v>2281.2755410627869</v>
      </c>
      <c r="I218" s="21">
        <f t="shared" si="85"/>
        <v>-992.11576328502269</v>
      </c>
      <c r="J218" s="21">
        <f t="shared" si="85"/>
        <v>5948.5798888888967</v>
      </c>
      <c r="K218" s="21">
        <f t="shared" si="85"/>
        <v>2175.3624975845451</v>
      </c>
    </row>
    <row r="219" spans="3:11" hidden="1">
      <c r="D219" s="160"/>
    </row>
    <row r="220" spans="3:11" hidden="1">
      <c r="D220" s="160"/>
    </row>
    <row r="221" spans="3:11" hidden="1">
      <c r="C221" s="300" t="s">
        <v>95</v>
      </c>
      <c r="D221" s="300" t="s">
        <v>96</v>
      </c>
      <c r="E221" s="236" t="s">
        <v>97</v>
      </c>
      <c r="F221" s="236" t="s">
        <v>98</v>
      </c>
      <c r="G221" s="236" t="s">
        <v>99</v>
      </c>
      <c r="H221" s="236" t="s">
        <v>100</v>
      </c>
      <c r="I221" s="236" t="s">
        <v>101</v>
      </c>
      <c r="J221" s="236" t="s">
        <v>102</v>
      </c>
      <c r="K221" s="236" t="s">
        <v>103</v>
      </c>
    </row>
    <row r="222" spans="3:11" ht="30" hidden="1">
      <c r="C222" s="301"/>
      <c r="D222" s="301"/>
      <c r="E222" s="168" t="s">
        <v>104</v>
      </c>
      <c r="F222" s="237" t="s">
        <v>153</v>
      </c>
      <c r="G222" s="237" t="s">
        <v>154</v>
      </c>
      <c r="H222" s="237" t="s">
        <v>155</v>
      </c>
      <c r="I222" s="237" t="s">
        <v>156</v>
      </c>
      <c r="J222" s="237" t="s">
        <v>157</v>
      </c>
      <c r="K222" s="237" t="s">
        <v>157</v>
      </c>
    </row>
    <row r="223" spans="3:11" hidden="1">
      <c r="C223" s="168" t="s">
        <v>10</v>
      </c>
      <c r="D223" s="238">
        <f>+D157</f>
        <v>1345458283.4642859</v>
      </c>
      <c r="E223" s="239">
        <f t="shared" ref="E223:K223" si="86">+D158</f>
        <v>1268952878.4642859</v>
      </c>
      <c r="F223" s="239">
        <f t="shared" si="86"/>
        <v>1395792078.4642856</v>
      </c>
      <c r="G223" s="239">
        <f t="shared" si="86"/>
        <v>1363032078.4642856</v>
      </c>
      <c r="H223" s="239">
        <f t="shared" si="86"/>
        <v>1339560078.4642856</v>
      </c>
      <c r="I223" s="239">
        <f t="shared" si="86"/>
        <v>1314464078.4642856</v>
      </c>
      <c r="J223" s="239">
        <f t="shared" si="86"/>
        <v>1367676078.4642856</v>
      </c>
      <c r="K223" s="239">
        <f t="shared" si="86"/>
        <v>1338748078.4642856</v>
      </c>
    </row>
    <row r="224" spans="3:11" hidden="1">
      <c r="C224" s="168" t="s">
        <v>15</v>
      </c>
      <c r="D224" s="238">
        <f>+D161</f>
        <v>1335895977</v>
      </c>
      <c r="E224" s="239">
        <f t="shared" ref="E224:K224" si="87">+D162</f>
        <v>1264568531.9682541</v>
      </c>
      <c r="F224" s="239">
        <f t="shared" si="87"/>
        <v>1432073731.9682541</v>
      </c>
      <c r="G224" s="239">
        <f t="shared" si="87"/>
        <v>1382933731.9682541</v>
      </c>
      <c r="H224" s="239">
        <f t="shared" si="87"/>
        <v>1347725731.9682541</v>
      </c>
      <c r="I224" s="239">
        <f t="shared" si="87"/>
        <v>1310081731.9682541</v>
      </c>
      <c r="J224" s="239">
        <f t="shared" si="87"/>
        <v>1389899731.9682541</v>
      </c>
      <c r="K224" s="239">
        <f t="shared" si="87"/>
        <v>1346507731.9682541</v>
      </c>
    </row>
    <row r="225" spans="3:11" hidden="1">
      <c r="C225" s="168" t="s">
        <v>17</v>
      </c>
      <c r="D225" s="238">
        <f>+D165</f>
        <v>651761479</v>
      </c>
      <c r="E225" s="239">
        <f t="shared" ref="E225:K225" si="88">+D166</f>
        <v>637399718.66666675</v>
      </c>
      <c r="F225" s="239">
        <f t="shared" si="88"/>
        <v>692608118.66666663</v>
      </c>
      <c r="G225" s="239">
        <f t="shared" si="88"/>
        <v>676228118.66666663</v>
      </c>
      <c r="H225" s="239">
        <f t="shared" si="88"/>
        <v>664492118.66666663</v>
      </c>
      <c r="I225" s="239">
        <f t="shared" si="88"/>
        <v>651944118.66666663</v>
      </c>
      <c r="J225" s="239">
        <f t="shared" si="88"/>
        <v>678550118.66666663</v>
      </c>
      <c r="K225" s="239">
        <f t="shared" si="88"/>
        <v>664086118.66666663</v>
      </c>
    </row>
    <row r="226" spans="3:11" hidden="1">
      <c r="C226" s="168" t="s">
        <v>111</v>
      </c>
      <c r="D226" s="238">
        <f t="shared" ref="D226:K226" si="89">+D223+D224+D225</f>
        <v>3333115739.4642859</v>
      </c>
      <c r="E226" s="238">
        <f t="shared" si="89"/>
        <v>3170921129.0992069</v>
      </c>
      <c r="F226" s="238">
        <f t="shared" si="89"/>
        <v>3520473929.0992064</v>
      </c>
      <c r="G226" s="238">
        <f t="shared" si="89"/>
        <v>3422193929.0992064</v>
      </c>
      <c r="H226" s="238">
        <f t="shared" si="89"/>
        <v>3351777929.0992064</v>
      </c>
      <c r="I226" s="238">
        <f t="shared" si="89"/>
        <v>3276489929.0992064</v>
      </c>
      <c r="J226" s="238">
        <f t="shared" si="89"/>
        <v>3436125929.0992064</v>
      </c>
      <c r="K226" s="238">
        <f t="shared" si="89"/>
        <v>3349341929.0992064</v>
      </c>
    </row>
    <row r="227" spans="3:11" hidden="1">
      <c r="C227" s="168" t="s">
        <v>43</v>
      </c>
      <c r="D227" s="168"/>
      <c r="E227" s="239">
        <f t="shared" ref="E227:K227" si="90">+E226-$D$226</f>
        <v>-162194610.36507893</v>
      </c>
      <c r="F227" s="239">
        <f t="shared" si="90"/>
        <v>187358189.6349206</v>
      </c>
      <c r="G227" s="239">
        <f t="shared" si="90"/>
        <v>89078189.634920597</v>
      </c>
      <c r="H227" s="239">
        <f t="shared" si="90"/>
        <v>18662189.634920597</v>
      </c>
      <c r="I227" s="239">
        <f t="shared" si="90"/>
        <v>-56625810.365079403</v>
      </c>
      <c r="J227" s="239">
        <f t="shared" si="90"/>
        <v>103010189.6349206</v>
      </c>
      <c r="K227" s="239">
        <f t="shared" si="90"/>
        <v>16226189.634920597</v>
      </c>
    </row>
    <row r="228" spans="3:11" hidden="1">
      <c r="C228" s="168"/>
      <c r="D228" s="168" t="s">
        <v>112</v>
      </c>
      <c r="E228" s="239">
        <f t="shared" ref="E228:K228" si="91">+E227/23000</f>
        <v>-7051.9395810903879</v>
      </c>
      <c r="F228" s="239">
        <f t="shared" si="91"/>
        <v>8146.0082449965475</v>
      </c>
      <c r="G228" s="239">
        <f t="shared" si="91"/>
        <v>3872.964766735678</v>
      </c>
      <c r="H228" s="239">
        <f t="shared" si="91"/>
        <v>811.39954934437378</v>
      </c>
      <c r="I228" s="239">
        <f t="shared" si="91"/>
        <v>-2461.9917550034525</v>
      </c>
      <c r="J228" s="239">
        <f t="shared" si="91"/>
        <v>4478.7038971704606</v>
      </c>
      <c r="K228" s="239">
        <f t="shared" si="91"/>
        <v>705.48650586611291</v>
      </c>
    </row>
    <row r="229" spans="3:11" hidden="1"/>
    <row r="230" spans="3:11" hidden="1">
      <c r="K230" s="21">
        <f>+K217-K228</f>
        <v>1469.8759917184166</v>
      </c>
    </row>
    <row r="231" spans="3:11" hidden="1"/>
    <row r="232" spans="3:11" hidden="1"/>
    <row r="233" spans="3:11" hidden="1"/>
    <row r="234" spans="3:11" hidden="1"/>
    <row r="235" spans="3:11" ht="48" hidden="1" customHeight="1">
      <c r="C235" s="306" t="s">
        <v>198</v>
      </c>
      <c r="D235" s="307"/>
      <c r="E235" s="200" t="s">
        <v>199</v>
      </c>
      <c r="F235" s="200" t="s">
        <v>200</v>
      </c>
      <c r="G235" s="200" t="s">
        <v>201</v>
      </c>
      <c r="H235" s="200" t="s">
        <v>202</v>
      </c>
      <c r="I235" s="200" t="s">
        <v>203</v>
      </c>
      <c r="J235" s="200" t="s">
        <v>204</v>
      </c>
    </row>
    <row r="236" spans="3:11" hidden="1">
      <c r="C236" s="226" t="s">
        <v>96</v>
      </c>
      <c r="D236" s="240">
        <f>D226/23000</f>
        <v>144918.07562888198</v>
      </c>
      <c r="E236" s="225">
        <f>K148/23000</f>
        <v>144961.96019409937</v>
      </c>
      <c r="F236" s="225">
        <f>E214/23000</f>
        <v>139336.01203951001</v>
      </c>
      <c r="G236" s="225">
        <f>G214/23000</f>
        <v>150260.9163873361</v>
      </c>
      <c r="H236" s="225">
        <f>I214/23000</f>
        <v>143925.95986559696</v>
      </c>
      <c r="I236" s="225">
        <f>'Total (10 new cars)'!F148/23000</f>
        <v>143144.83812646652</v>
      </c>
      <c r="J236" s="225">
        <f>'Total (10 new cars)'!F171/23000</f>
        <v>141674.96213474812</v>
      </c>
    </row>
    <row r="237" spans="3:11" hidden="1">
      <c r="C237" s="320" t="s">
        <v>43</v>
      </c>
      <c r="D237" s="321"/>
      <c r="E237" s="225">
        <f t="shared" ref="E237:J237" si="92">E236-$D$236</f>
        <v>43.884565217391355</v>
      </c>
      <c r="F237" s="225">
        <f t="shared" si="92"/>
        <v>-5582.0635893719736</v>
      </c>
      <c r="G237" s="225">
        <f t="shared" si="92"/>
        <v>5342.8407584541128</v>
      </c>
      <c r="H237" s="225">
        <f t="shared" si="92"/>
        <v>-992.11576328502269</v>
      </c>
      <c r="I237" s="225">
        <f t="shared" si="92"/>
        <v>-1773.2375024154608</v>
      </c>
      <c r="J237" s="225">
        <f t="shared" si="92"/>
        <v>-3243.1134941338678</v>
      </c>
    </row>
    <row r="238" spans="3:11" hidden="1">
      <c r="C238" s="320" t="s">
        <v>205</v>
      </c>
      <c r="D238" s="321"/>
      <c r="E238" s="226" t="s">
        <v>206</v>
      </c>
      <c r="F238" s="226" t="s">
        <v>207</v>
      </c>
      <c r="G238" s="226" t="s">
        <v>207</v>
      </c>
      <c r="H238" s="226" t="s">
        <v>207</v>
      </c>
      <c r="I238" s="226" t="s">
        <v>207</v>
      </c>
      <c r="J238" s="226" t="s">
        <v>207</v>
      </c>
    </row>
    <row r="239" spans="3:11" hidden="1">
      <c r="C239" s="320" t="s">
        <v>39</v>
      </c>
      <c r="D239" s="321"/>
      <c r="E239" s="226" t="s">
        <v>208</v>
      </c>
      <c r="F239" s="226" t="s">
        <v>208</v>
      </c>
      <c r="G239" s="226" t="s">
        <v>208</v>
      </c>
      <c r="H239" s="226" t="s">
        <v>209</v>
      </c>
      <c r="I239" s="226" t="s">
        <v>208</v>
      </c>
      <c r="J239" s="226" t="s">
        <v>210</v>
      </c>
    </row>
    <row r="240" spans="3:11" s="161" customFormat="1" ht="44.1" hidden="1" customHeight="1">
      <c r="C240" s="320" t="s">
        <v>211</v>
      </c>
      <c r="D240" s="321"/>
      <c r="E240" s="226" t="s">
        <v>212</v>
      </c>
      <c r="F240" s="226" t="s">
        <v>212</v>
      </c>
      <c r="G240" s="241" t="s">
        <v>213</v>
      </c>
      <c r="H240" s="241" t="s">
        <v>214</v>
      </c>
      <c r="I240" s="241" t="s">
        <v>213</v>
      </c>
      <c r="J240" s="241" t="s">
        <v>213</v>
      </c>
    </row>
    <row r="241" spans="3:10" hidden="1">
      <c r="C241" s="282" t="s">
        <v>215</v>
      </c>
      <c r="D241" s="226" t="s">
        <v>216</v>
      </c>
      <c r="E241" s="226"/>
      <c r="F241" s="226"/>
      <c r="G241" s="226"/>
      <c r="H241" s="226"/>
      <c r="I241" s="226"/>
      <c r="J241" s="226"/>
    </row>
    <row r="242" spans="3:10" hidden="1">
      <c r="C242" s="283"/>
      <c r="D242" s="226" t="s">
        <v>217</v>
      </c>
      <c r="E242" s="226"/>
      <c r="F242" s="226"/>
      <c r="G242" s="226"/>
      <c r="H242" s="226"/>
      <c r="I242" s="226"/>
      <c r="J242" s="226"/>
    </row>
    <row r="243" spans="3:10" hidden="1">
      <c r="C243" s="284"/>
      <c r="D243" s="226" t="s">
        <v>218</v>
      </c>
      <c r="E243" s="226"/>
      <c r="F243" s="226"/>
      <c r="G243" s="226"/>
      <c r="H243" s="226"/>
      <c r="I243" s="226"/>
      <c r="J243" s="226"/>
    </row>
    <row r="244" spans="3:10" hidden="1"/>
    <row r="245" spans="3:10" hidden="1"/>
    <row r="247" spans="3:10">
      <c r="E247">
        <f>1700*12</f>
        <v>20400</v>
      </c>
    </row>
    <row r="251" spans="3:10">
      <c r="D251" s="25">
        <v>47644035.903495401</v>
      </c>
      <c r="E251" s="25">
        <v>31980500</v>
      </c>
    </row>
    <row r="252" spans="3:10">
      <c r="D252" s="25">
        <v>49912198.1091692</v>
      </c>
      <c r="E252" s="25">
        <v>33243061.837606799</v>
      </c>
    </row>
    <row r="253" spans="3:10">
      <c r="D253" s="21">
        <f>D252-D251</f>
        <v>2268162.2056737989</v>
      </c>
      <c r="E253" s="21">
        <f>E252-E251</f>
        <v>1262561.8376067989</v>
      </c>
    </row>
    <row r="255" spans="3:10">
      <c r="D255" s="21">
        <f>D253*47+E253*27</f>
        <v>140692793.2820521</v>
      </c>
    </row>
    <row r="256" spans="3:10">
      <c r="D256" s="21">
        <f>D255/23000</f>
        <v>6117.0779687848735</v>
      </c>
    </row>
  </sheetData>
  <mergeCells count="126">
    <mergeCell ref="I32:I34"/>
    <mergeCell ref="I39:I41"/>
    <mergeCell ref="J48:J49"/>
    <mergeCell ref="B155:C156"/>
    <mergeCell ref="K48:M49"/>
    <mergeCell ref="K60:M62"/>
    <mergeCell ref="K66:M68"/>
    <mergeCell ref="K72:M74"/>
    <mergeCell ref="K78:M80"/>
    <mergeCell ref="B133:C134"/>
    <mergeCell ref="C111:C124"/>
    <mergeCell ref="C125:C127"/>
    <mergeCell ref="G146:H146"/>
    <mergeCell ref="I146:J146"/>
    <mergeCell ref="B48:B49"/>
    <mergeCell ref="B51:B54"/>
    <mergeCell ref="B55:B58"/>
    <mergeCell ref="B59:B64"/>
    <mergeCell ref="B65:B70"/>
    <mergeCell ref="B71:B76"/>
    <mergeCell ref="B77:B82"/>
    <mergeCell ref="B83:B127"/>
    <mergeCell ref="B135:B138"/>
    <mergeCell ref="B139:B142"/>
    <mergeCell ref="C209:C210"/>
    <mergeCell ref="C221:C222"/>
    <mergeCell ref="C241:C243"/>
    <mergeCell ref="D48:D49"/>
    <mergeCell ref="D209:D210"/>
    <mergeCell ref="D221:D222"/>
    <mergeCell ref="E48:E49"/>
    <mergeCell ref="C48:C49"/>
    <mergeCell ref="C51:C54"/>
    <mergeCell ref="C55:C58"/>
    <mergeCell ref="C59:C62"/>
    <mergeCell ref="C65:C68"/>
    <mergeCell ref="C71:C74"/>
    <mergeCell ref="C77:C80"/>
    <mergeCell ref="C83:C96"/>
    <mergeCell ref="C97:C110"/>
    <mergeCell ref="E146:F146"/>
    <mergeCell ref="C235:D235"/>
    <mergeCell ref="C237:D237"/>
    <mergeCell ref="C238:D238"/>
    <mergeCell ref="C239:D239"/>
    <mergeCell ref="C240:D240"/>
    <mergeCell ref="F48:G48"/>
    <mergeCell ref="B147:B150"/>
    <mergeCell ref="B157:B160"/>
    <mergeCell ref="B161:B164"/>
    <mergeCell ref="B165:B168"/>
    <mergeCell ref="B169:B172"/>
    <mergeCell ref="K123:M123"/>
    <mergeCell ref="K124:M124"/>
    <mergeCell ref="K125:M125"/>
    <mergeCell ref="K126:M126"/>
    <mergeCell ref="K127:M127"/>
    <mergeCell ref="E138:F138"/>
    <mergeCell ref="G138:H138"/>
    <mergeCell ref="I138:J138"/>
    <mergeCell ref="E142:F142"/>
    <mergeCell ref="G142:H142"/>
    <mergeCell ref="I142:J142"/>
    <mergeCell ref="K115:M115"/>
    <mergeCell ref="K116:M116"/>
    <mergeCell ref="K117:M117"/>
    <mergeCell ref="K118:M118"/>
    <mergeCell ref="K119:M119"/>
    <mergeCell ref="K120:M120"/>
    <mergeCell ref="K121:M121"/>
    <mergeCell ref="K122:M122"/>
    <mergeCell ref="B143:B146"/>
    <mergeCell ref="K106:M106"/>
    <mergeCell ref="K107:M107"/>
    <mergeCell ref="K108:M108"/>
    <mergeCell ref="K109:M109"/>
    <mergeCell ref="K110:M110"/>
    <mergeCell ref="K111:M111"/>
    <mergeCell ref="K112:M112"/>
    <mergeCell ref="K113:M113"/>
    <mergeCell ref="K114:M114"/>
    <mergeCell ref="K97:M97"/>
    <mergeCell ref="K98:M98"/>
    <mergeCell ref="K99:M99"/>
    <mergeCell ref="K100:M100"/>
    <mergeCell ref="K101:M101"/>
    <mergeCell ref="K102:M102"/>
    <mergeCell ref="K103:M103"/>
    <mergeCell ref="K104:M104"/>
    <mergeCell ref="K105:M105"/>
    <mergeCell ref="K88:M88"/>
    <mergeCell ref="K89:M89"/>
    <mergeCell ref="K90:M90"/>
    <mergeCell ref="K91:M91"/>
    <mergeCell ref="K92:M92"/>
    <mergeCell ref="K93:M93"/>
    <mergeCell ref="K94:M94"/>
    <mergeCell ref="K95:M95"/>
    <mergeCell ref="K96:M96"/>
    <mergeCell ref="K76:M76"/>
    <mergeCell ref="K77:M77"/>
    <mergeCell ref="K81:M81"/>
    <mergeCell ref="K82:M82"/>
    <mergeCell ref="K83:M83"/>
    <mergeCell ref="K84:M84"/>
    <mergeCell ref="K85:M85"/>
    <mergeCell ref="K86:M86"/>
    <mergeCell ref="K87:M87"/>
    <mergeCell ref="K58:M58"/>
    <mergeCell ref="K59:M59"/>
    <mergeCell ref="K63:M63"/>
    <mergeCell ref="K64:M64"/>
    <mergeCell ref="K65:M65"/>
    <mergeCell ref="K69:M69"/>
    <mergeCell ref="K70:M70"/>
    <mergeCell ref="K71:M71"/>
    <mergeCell ref="K75:M75"/>
    <mergeCell ref="H48:I48"/>
    <mergeCell ref="K50:M50"/>
    <mergeCell ref="K51:M51"/>
    <mergeCell ref="K52:M52"/>
    <mergeCell ref="K53:M53"/>
    <mergeCell ref="K54:M54"/>
    <mergeCell ref="K55:M55"/>
    <mergeCell ref="K56:M56"/>
    <mergeCell ref="K57:M57"/>
  </mergeCells>
  <pageMargins left="0.7" right="0.7" top="0.75" bottom="0.75" header="0.3" footer="0.3"/>
  <pageSetup paperSize="9" scale="39" fitToHeight="0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4:S256"/>
  <sheetViews>
    <sheetView showGridLines="0" topLeftCell="A132" zoomScale="79" zoomScaleNormal="79" workbookViewId="0">
      <selection activeCell="E152" sqref="E152"/>
    </sheetView>
  </sheetViews>
  <sheetFormatPr defaultColWidth="9" defaultRowHeight="15"/>
  <cols>
    <col min="2" max="2" width="16" customWidth="1"/>
    <col min="3" max="3" width="11.28515625" customWidth="1"/>
    <col min="4" max="4" width="24.28515625" customWidth="1"/>
    <col min="5" max="5" width="22.140625" customWidth="1"/>
    <col min="6" max="10" width="23.42578125" customWidth="1"/>
    <col min="11" max="11" width="20.28515625" customWidth="1"/>
    <col min="12" max="12" width="14.140625" customWidth="1"/>
    <col min="13" max="19" width="16.28515625" customWidth="1"/>
  </cols>
  <sheetData>
    <row r="4" spans="2:19" ht="46.5">
      <c r="B4" s="206" t="s">
        <v>192</v>
      </c>
    </row>
    <row r="5" spans="2:19" hidden="1"/>
    <row r="6" spans="2:19" hidden="1">
      <c r="C6" s="22" t="s">
        <v>1</v>
      </c>
    </row>
    <row r="7" spans="2:19" ht="30" hidden="1">
      <c r="C7" s="207" t="s">
        <v>2</v>
      </c>
      <c r="D7" s="208" t="s">
        <v>3</v>
      </c>
      <c r="E7" s="209" t="s">
        <v>4</v>
      </c>
      <c r="F7" s="208"/>
      <c r="G7" s="208" t="s">
        <v>6</v>
      </c>
      <c r="H7" s="208" t="s">
        <v>7</v>
      </c>
      <c r="I7" s="208" t="s">
        <v>8</v>
      </c>
      <c r="J7" s="208" t="s">
        <v>9</v>
      </c>
    </row>
    <row r="8" spans="2:19" ht="75" hidden="1">
      <c r="C8" s="176" t="s">
        <v>10</v>
      </c>
      <c r="D8" s="204">
        <v>85121795</v>
      </c>
      <c r="E8" s="210">
        <v>76154200</v>
      </c>
      <c r="F8" s="211"/>
      <c r="G8" s="204">
        <v>89576433</v>
      </c>
      <c r="H8" s="204">
        <v>132247427</v>
      </c>
      <c r="I8" s="250" t="s">
        <v>11</v>
      </c>
      <c r="J8" s="210">
        <f>+E8-D8</f>
        <v>-8967595</v>
      </c>
    </row>
    <row r="9" spans="2:19" hidden="1"/>
    <row r="10" spans="2:19" ht="30" hidden="1">
      <c r="C10" s="207" t="s">
        <v>12</v>
      </c>
      <c r="D10" s="208" t="s">
        <v>3</v>
      </c>
      <c r="E10" s="208" t="s">
        <v>4</v>
      </c>
      <c r="F10" s="208"/>
      <c r="G10" s="209" t="s">
        <v>6</v>
      </c>
      <c r="H10" s="208" t="s">
        <v>7</v>
      </c>
      <c r="I10" s="208" t="s">
        <v>8</v>
      </c>
      <c r="J10" s="208" t="s">
        <v>9</v>
      </c>
      <c r="L10" s="207" t="s">
        <v>13</v>
      </c>
      <c r="M10" s="208" t="s">
        <v>3</v>
      </c>
      <c r="N10" s="208" t="s">
        <v>4</v>
      </c>
      <c r="O10" s="208" t="s">
        <v>5</v>
      </c>
      <c r="P10" s="208" t="s">
        <v>6</v>
      </c>
      <c r="Q10" s="208" t="s">
        <v>7</v>
      </c>
      <c r="R10" s="208" t="s">
        <v>8</v>
      </c>
      <c r="S10" s="208" t="s">
        <v>9</v>
      </c>
    </row>
    <row r="11" spans="2:19" ht="45" hidden="1">
      <c r="C11" s="176" t="s">
        <v>10</v>
      </c>
      <c r="D11" s="204">
        <v>42471157</v>
      </c>
      <c r="E11" s="204">
        <v>40682600</v>
      </c>
      <c r="F11" s="204"/>
      <c r="G11" s="204">
        <v>33197822</v>
      </c>
      <c r="H11" s="211"/>
      <c r="I11" s="216" t="s">
        <v>14</v>
      </c>
      <c r="J11" s="204"/>
      <c r="L11" s="176" t="s">
        <v>10</v>
      </c>
      <c r="M11" s="211"/>
      <c r="N11" s="204">
        <v>44264590</v>
      </c>
      <c r="O11" s="211"/>
      <c r="P11" s="211"/>
      <c r="Q11" s="204">
        <v>42968280</v>
      </c>
      <c r="R11" s="204"/>
      <c r="S11" s="204"/>
    </row>
    <row r="12" spans="2:19" ht="45" hidden="1">
      <c r="C12" s="176" t="s">
        <v>15</v>
      </c>
      <c r="D12" s="204">
        <v>45837757</v>
      </c>
      <c r="E12" s="204">
        <v>45223800</v>
      </c>
      <c r="F12" s="204"/>
      <c r="G12" s="204">
        <v>38273422</v>
      </c>
      <c r="H12" s="211"/>
      <c r="I12" s="216" t="s">
        <v>16</v>
      </c>
      <c r="J12" s="204"/>
      <c r="L12" s="176" t="s">
        <v>15</v>
      </c>
      <c r="M12" s="211"/>
      <c r="N12" s="204">
        <v>48585800</v>
      </c>
      <c r="O12" s="211"/>
      <c r="P12" s="211"/>
      <c r="Q12" s="204">
        <v>48078804</v>
      </c>
      <c r="R12" s="204"/>
      <c r="S12" s="204"/>
    </row>
    <row r="13" spans="2:19" ht="30" hidden="1">
      <c r="C13" s="176" t="s">
        <v>17</v>
      </c>
      <c r="D13" s="204">
        <v>44133157</v>
      </c>
      <c r="E13" s="204">
        <v>42965200</v>
      </c>
      <c r="F13" s="204"/>
      <c r="G13" s="204">
        <v>35764522</v>
      </c>
      <c r="H13" s="211"/>
      <c r="I13" s="216" t="s">
        <v>18</v>
      </c>
      <c r="J13" s="204"/>
      <c r="L13" s="176" t="s">
        <v>17</v>
      </c>
      <c r="M13" s="211"/>
      <c r="N13" s="204">
        <v>45782200</v>
      </c>
      <c r="O13" s="211"/>
      <c r="P13" s="211"/>
      <c r="Q13" s="204">
        <v>46398804</v>
      </c>
      <c r="R13" s="204"/>
      <c r="S13" s="204"/>
    </row>
    <row r="14" spans="2:19" hidden="1">
      <c r="C14" s="176" t="s">
        <v>19</v>
      </c>
      <c r="D14" s="210">
        <f t="shared" ref="D14:H14" si="0">SUM(D11:D13)</f>
        <v>132442071</v>
      </c>
      <c r="E14" s="204">
        <f t="shared" si="0"/>
        <v>128871600</v>
      </c>
      <c r="F14" s="204"/>
      <c r="G14" s="210">
        <f t="shared" si="0"/>
        <v>107235766</v>
      </c>
      <c r="H14" s="211">
        <f t="shared" si="0"/>
        <v>0</v>
      </c>
      <c r="I14" s="204">
        <f>+E14-D14</f>
        <v>-3570471</v>
      </c>
      <c r="J14" s="204">
        <f>+G14-D14</f>
        <v>-25206305</v>
      </c>
      <c r="L14" s="176" t="s">
        <v>19</v>
      </c>
      <c r="M14" s="211">
        <f t="shared" ref="M14:S14" si="1">SUM(M11:M13)</f>
        <v>0</v>
      </c>
      <c r="N14" s="204">
        <f t="shared" si="1"/>
        <v>138632590</v>
      </c>
      <c r="O14" s="211">
        <f t="shared" si="1"/>
        <v>0</v>
      </c>
      <c r="P14" s="211">
        <f t="shared" si="1"/>
        <v>0</v>
      </c>
      <c r="Q14" s="204">
        <f t="shared" si="1"/>
        <v>137445888</v>
      </c>
      <c r="R14" s="204">
        <f t="shared" si="1"/>
        <v>0</v>
      </c>
      <c r="S14" s="204">
        <f t="shared" si="1"/>
        <v>0</v>
      </c>
    </row>
    <row r="15" spans="2:19" hidden="1">
      <c r="C15" s="176" t="s">
        <v>20</v>
      </c>
      <c r="D15" s="210">
        <f t="shared" ref="D15:G15" si="2">AVERAGE(D11:D13)</f>
        <v>44147357</v>
      </c>
      <c r="E15" s="204">
        <f t="shared" si="2"/>
        <v>42957200</v>
      </c>
      <c r="F15" s="204"/>
      <c r="G15" s="210">
        <f t="shared" si="2"/>
        <v>35745255.333333336</v>
      </c>
      <c r="H15" s="204"/>
      <c r="I15" s="204"/>
      <c r="J15" s="210">
        <f>+G15-D15</f>
        <v>-8402101.6666666642</v>
      </c>
      <c r="L15" s="176" t="s">
        <v>20</v>
      </c>
      <c r="M15" s="204"/>
      <c r="N15" s="210">
        <f>AVERAGE(N11:N13)</f>
        <v>46210863.333333336</v>
      </c>
      <c r="O15" s="204"/>
      <c r="P15" s="204"/>
      <c r="Q15" s="204">
        <f>AVERAGE(Q11:Q13)</f>
        <v>45815296</v>
      </c>
      <c r="R15" s="204"/>
      <c r="S15" s="204"/>
    </row>
    <row r="16" spans="2:19" hidden="1"/>
    <row r="17" spans="3:19" ht="30" hidden="1">
      <c r="C17" s="207" t="s">
        <v>21</v>
      </c>
      <c r="D17" s="208" t="s">
        <v>3</v>
      </c>
      <c r="E17" s="208" t="s">
        <v>4</v>
      </c>
      <c r="F17" s="208"/>
      <c r="G17" s="208" t="s">
        <v>6</v>
      </c>
      <c r="H17" s="208" t="s">
        <v>7</v>
      </c>
      <c r="I17" s="208" t="s">
        <v>8</v>
      </c>
      <c r="J17" s="208" t="s">
        <v>9</v>
      </c>
      <c r="L17" s="207" t="s">
        <v>22</v>
      </c>
      <c r="M17" s="208" t="s">
        <v>3</v>
      </c>
      <c r="N17" s="208" t="s">
        <v>4</v>
      </c>
      <c r="O17" s="208" t="s">
        <v>5</v>
      </c>
      <c r="P17" s="208" t="s">
        <v>6</v>
      </c>
      <c r="Q17" s="208" t="s">
        <v>7</v>
      </c>
      <c r="R17" s="208" t="s">
        <v>8</v>
      </c>
      <c r="S17" s="208" t="s">
        <v>9</v>
      </c>
    </row>
    <row r="18" spans="3:19" ht="60" hidden="1">
      <c r="C18" s="176" t="s">
        <v>10</v>
      </c>
      <c r="D18" s="204">
        <v>43773446.350000001</v>
      </c>
      <c r="E18" s="204">
        <v>47936750</v>
      </c>
      <c r="F18" s="211"/>
      <c r="G18" s="211"/>
      <c r="H18" s="211"/>
      <c r="I18" s="250" t="s">
        <v>23</v>
      </c>
      <c r="J18" s="204"/>
      <c r="L18" s="176" t="s">
        <v>10</v>
      </c>
      <c r="M18" s="204">
        <v>341866500</v>
      </c>
      <c r="N18" s="204">
        <v>44789186</v>
      </c>
      <c r="O18" s="204">
        <v>375667120</v>
      </c>
      <c r="P18" s="204">
        <v>336207798</v>
      </c>
      <c r="Q18" s="204">
        <v>388651417</v>
      </c>
      <c r="R18" s="216" t="s">
        <v>24</v>
      </c>
      <c r="S18" s="204">
        <f t="shared" ref="S18:S22" si="3">+P18-M18</f>
        <v>-5658702</v>
      </c>
    </row>
    <row r="19" spans="3:19" ht="120" hidden="1">
      <c r="C19" s="176" t="s">
        <v>15</v>
      </c>
      <c r="D19" s="204">
        <v>50188321</v>
      </c>
      <c r="E19" s="204">
        <v>55638252.380952403</v>
      </c>
      <c r="F19" s="211"/>
      <c r="G19" s="211"/>
      <c r="H19" s="211"/>
      <c r="I19" s="250" t="s">
        <v>25</v>
      </c>
      <c r="J19" s="204"/>
      <c r="L19" s="176" t="s">
        <v>15</v>
      </c>
      <c r="M19" s="204">
        <v>223594000</v>
      </c>
      <c r="N19" s="204">
        <v>35320438</v>
      </c>
      <c r="O19" s="204">
        <v>266283560</v>
      </c>
      <c r="P19" s="204">
        <v>244183066</v>
      </c>
      <c r="Q19" s="204">
        <v>267524346</v>
      </c>
      <c r="R19" s="216" t="s">
        <v>26</v>
      </c>
      <c r="S19" s="204">
        <f t="shared" si="3"/>
        <v>20589066</v>
      </c>
    </row>
    <row r="20" spans="3:19" ht="75" hidden="1">
      <c r="C20" s="176" t="s">
        <v>17</v>
      </c>
      <c r="D20" s="204">
        <v>47491277.75</v>
      </c>
      <c r="E20" s="204">
        <v>53819475</v>
      </c>
      <c r="F20" s="211"/>
      <c r="G20" s="211"/>
      <c r="H20" s="211"/>
      <c r="I20" s="250" t="s">
        <v>27</v>
      </c>
      <c r="J20" s="204"/>
      <c r="L20" s="176" t="s">
        <v>17</v>
      </c>
      <c r="M20" s="204">
        <v>221055500</v>
      </c>
      <c r="N20" s="204">
        <v>38479080</v>
      </c>
      <c r="O20" s="204">
        <v>263866893.33333299</v>
      </c>
      <c r="P20" s="204">
        <v>242283066</v>
      </c>
      <c r="Q20" s="204">
        <v>265782679.33333299</v>
      </c>
      <c r="R20" s="216" t="s">
        <v>28</v>
      </c>
      <c r="S20" s="204">
        <f t="shared" si="3"/>
        <v>21227566</v>
      </c>
    </row>
    <row r="21" spans="3:19" ht="33" hidden="1" customHeight="1">
      <c r="C21" s="176" t="s">
        <v>19</v>
      </c>
      <c r="D21" s="204">
        <f t="shared" ref="D21:I21" si="4">SUM(D18:D20)</f>
        <v>141453045.09999999</v>
      </c>
      <c r="E21" s="204">
        <f t="shared" si="4"/>
        <v>157394477.38095242</v>
      </c>
      <c r="F21" s="211"/>
      <c r="G21" s="211">
        <f t="shared" si="4"/>
        <v>0</v>
      </c>
      <c r="H21" s="211">
        <f t="shared" si="4"/>
        <v>0</v>
      </c>
      <c r="I21" s="204">
        <f t="shared" si="4"/>
        <v>0</v>
      </c>
      <c r="J21" s="204">
        <f>+E21-D21</f>
        <v>15941432.280952424</v>
      </c>
      <c r="L21" s="176" t="s">
        <v>19</v>
      </c>
      <c r="M21" s="204">
        <f t="shared" ref="M21:R21" si="5">SUM(M18:M20)</f>
        <v>786516000</v>
      </c>
      <c r="N21" s="204">
        <f t="shared" si="5"/>
        <v>118588704</v>
      </c>
      <c r="O21" s="204">
        <f t="shared" si="5"/>
        <v>905817573.33333302</v>
      </c>
      <c r="P21" s="204">
        <f t="shared" si="5"/>
        <v>822673930</v>
      </c>
      <c r="Q21" s="204">
        <f t="shared" si="5"/>
        <v>921958442.33333302</v>
      </c>
      <c r="R21" s="204">
        <f t="shared" si="5"/>
        <v>0</v>
      </c>
      <c r="S21" s="204">
        <f t="shared" si="3"/>
        <v>36157930</v>
      </c>
    </row>
    <row r="22" spans="3:19" ht="33" hidden="1" customHeight="1">
      <c r="C22" s="176" t="s">
        <v>20</v>
      </c>
      <c r="D22" s="210">
        <f>AVERAGE(D18:D20)</f>
        <v>47151015.033333331</v>
      </c>
      <c r="E22" s="210">
        <f>AVERAGE(E18:E20)</f>
        <v>52464825.793650806</v>
      </c>
      <c r="F22" s="212"/>
      <c r="G22" s="212"/>
      <c r="H22" s="204"/>
      <c r="I22" s="204"/>
      <c r="J22" s="210">
        <f>+E22-D22</f>
        <v>5313810.7603174746</v>
      </c>
      <c r="L22" s="176" t="s">
        <v>20</v>
      </c>
      <c r="M22" s="210">
        <f t="shared" ref="M22:Q22" si="6">AVERAGE(M18:M20)</f>
        <v>262172000</v>
      </c>
      <c r="N22" s="204">
        <f t="shared" si="6"/>
        <v>39529568</v>
      </c>
      <c r="O22" s="204">
        <f t="shared" si="6"/>
        <v>301939191.11111099</v>
      </c>
      <c r="P22" s="210">
        <f t="shared" si="6"/>
        <v>274224643.33333331</v>
      </c>
      <c r="Q22" s="204">
        <f t="shared" si="6"/>
        <v>307319480.77777767</v>
      </c>
      <c r="R22" s="204"/>
      <c r="S22" s="210">
        <f t="shared" si="3"/>
        <v>12052643.333333313</v>
      </c>
    </row>
    <row r="23" spans="3:19" hidden="1"/>
    <row r="24" spans="3:19" ht="30" hidden="1">
      <c r="C24" s="207" t="s">
        <v>29</v>
      </c>
      <c r="D24" s="208" t="s">
        <v>3</v>
      </c>
      <c r="E24" s="208" t="s">
        <v>4</v>
      </c>
      <c r="F24" s="208"/>
      <c r="G24" s="208" t="s">
        <v>6</v>
      </c>
      <c r="H24" s="208" t="s">
        <v>7</v>
      </c>
      <c r="I24" s="208" t="s">
        <v>8</v>
      </c>
      <c r="J24" s="208" t="s">
        <v>9</v>
      </c>
      <c r="L24" s="207" t="s">
        <v>30</v>
      </c>
      <c r="M24" s="208" t="s">
        <v>3</v>
      </c>
      <c r="N24" s="208" t="s">
        <v>4</v>
      </c>
      <c r="O24" s="208" t="s">
        <v>5</v>
      </c>
      <c r="P24" s="208" t="s">
        <v>6</v>
      </c>
      <c r="Q24" s="208" t="s">
        <v>7</v>
      </c>
      <c r="R24" s="208" t="s">
        <v>8</v>
      </c>
      <c r="S24" s="208" t="s">
        <v>9</v>
      </c>
    </row>
    <row r="25" spans="3:19" ht="60" hidden="1">
      <c r="C25" s="176" t="s">
        <v>10</v>
      </c>
      <c r="D25" s="204">
        <v>45143446.350000001</v>
      </c>
      <c r="E25" s="204">
        <v>46298750</v>
      </c>
      <c r="F25" s="211"/>
      <c r="G25" s="211"/>
      <c r="H25" s="211"/>
      <c r="I25" s="250" t="s">
        <v>23</v>
      </c>
      <c r="J25" s="204"/>
      <c r="L25" s="176" t="s">
        <v>10</v>
      </c>
      <c r="M25" s="211"/>
      <c r="N25" s="204">
        <v>416561500</v>
      </c>
      <c r="O25" s="211"/>
      <c r="P25" s="204">
        <v>322478034</v>
      </c>
      <c r="Q25" s="211"/>
      <c r="R25" s="216" t="s">
        <v>24</v>
      </c>
      <c r="S25" s="204"/>
    </row>
    <row r="26" spans="3:19" ht="120" hidden="1">
      <c r="C26" s="176" t="s">
        <v>15</v>
      </c>
      <c r="D26" s="204">
        <v>51558321</v>
      </c>
      <c r="E26" s="204">
        <v>53298252.380952403</v>
      </c>
      <c r="F26" s="211"/>
      <c r="G26" s="211"/>
      <c r="H26" s="211"/>
      <c r="I26" s="250" t="s">
        <v>25</v>
      </c>
      <c r="J26" s="204"/>
      <c r="L26" s="176" t="s">
        <v>15</v>
      </c>
      <c r="M26" s="211"/>
      <c r="N26" s="204">
        <v>289918200</v>
      </c>
      <c r="O26" s="211"/>
      <c r="P26" s="204">
        <v>235491398</v>
      </c>
      <c r="Q26" s="211"/>
      <c r="R26" s="216" t="s">
        <v>26</v>
      </c>
      <c r="S26" s="204"/>
    </row>
    <row r="27" spans="3:19" ht="75" hidden="1">
      <c r="C27" s="176" t="s">
        <v>17</v>
      </c>
      <c r="D27" s="204">
        <v>48861277.75</v>
      </c>
      <c r="E27" s="204">
        <v>51260100</v>
      </c>
      <c r="F27" s="211"/>
      <c r="G27" s="211"/>
      <c r="H27" s="211"/>
      <c r="I27" s="250" t="s">
        <v>27</v>
      </c>
      <c r="J27" s="204"/>
      <c r="L27" s="176" t="s">
        <v>17</v>
      </c>
      <c r="M27" s="211"/>
      <c r="N27" s="204">
        <v>286769366.66666698</v>
      </c>
      <c r="O27" s="211"/>
      <c r="P27" s="204">
        <v>233541398</v>
      </c>
      <c r="Q27" s="211"/>
      <c r="R27" s="216" t="s">
        <v>28</v>
      </c>
      <c r="S27" s="204"/>
    </row>
    <row r="28" spans="3:19" ht="30" hidden="1" customHeight="1">
      <c r="C28" s="176" t="s">
        <v>19</v>
      </c>
      <c r="D28" s="204">
        <f t="shared" ref="D28:J28" si="7">SUM(D25:D27)</f>
        <v>145563045.09999999</v>
      </c>
      <c r="E28" s="204">
        <f t="shared" si="7"/>
        <v>150857102.38095242</v>
      </c>
      <c r="F28" s="211"/>
      <c r="G28" s="211">
        <f t="shared" si="7"/>
        <v>0</v>
      </c>
      <c r="H28" s="211">
        <f t="shared" si="7"/>
        <v>0</v>
      </c>
      <c r="I28" s="204">
        <f t="shared" si="7"/>
        <v>0</v>
      </c>
      <c r="J28" s="204">
        <f t="shared" si="7"/>
        <v>0</v>
      </c>
      <c r="L28" s="176" t="s">
        <v>19</v>
      </c>
      <c r="M28" s="211">
        <f t="shared" ref="M28:S28" si="8">SUM(M25:M27)</f>
        <v>0</v>
      </c>
      <c r="N28" s="204">
        <f t="shared" si="8"/>
        <v>993249066.66666698</v>
      </c>
      <c r="O28" s="211">
        <f t="shared" si="8"/>
        <v>0</v>
      </c>
      <c r="P28" s="204">
        <f t="shared" si="8"/>
        <v>791510830</v>
      </c>
      <c r="Q28" s="211">
        <f t="shared" si="8"/>
        <v>0</v>
      </c>
      <c r="R28" s="204">
        <f t="shared" si="8"/>
        <v>0</v>
      </c>
      <c r="S28" s="204">
        <f t="shared" si="8"/>
        <v>0</v>
      </c>
    </row>
    <row r="29" spans="3:19" ht="30" hidden="1" customHeight="1">
      <c r="C29" s="176" t="s">
        <v>20</v>
      </c>
      <c r="D29" s="210">
        <f>AVERAGE(D25:D27)</f>
        <v>48521015.033333331</v>
      </c>
      <c r="E29" s="210">
        <f>AVERAGE(E25:E27)</f>
        <v>50285700.793650806</v>
      </c>
      <c r="F29" s="212"/>
      <c r="G29" s="212"/>
      <c r="H29" s="204"/>
      <c r="I29" s="204"/>
      <c r="J29" s="210">
        <f>+E29-D29</f>
        <v>1764685.7603174746</v>
      </c>
      <c r="L29" s="176" t="s">
        <v>20</v>
      </c>
      <c r="M29" s="204"/>
      <c r="N29" s="204">
        <f>AVERAGE(N25:N27)</f>
        <v>331083022.22222233</v>
      </c>
      <c r="O29" s="204"/>
      <c r="P29" s="210">
        <f>AVERAGE(P25:P27)</f>
        <v>263836943.33333334</v>
      </c>
      <c r="Q29" s="204"/>
      <c r="R29" s="204"/>
      <c r="S29" s="204">
        <f>+P29-M29</f>
        <v>263836943.33333334</v>
      </c>
    </row>
    <row r="30" spans="3:19" hidden="1"/>
    <row r="31" spans="3:19" ht="34.5" hidden="1" customHeight="1">
      <c r="C31" s="207" t="s">
        <v>31</v>
      </c>
      <c r="D31" s="208" t="s">
        <v>32</v>
      </c>
      <c r="E31" s="208" t="s">
        <v>4</v>
      </c>
      <c r="F31" s="208"/>
      <c r="G31" s="208" t="s">
        <v>6</v>
      </c>
      <c r="H31" s="208" t="s">
        <v>7</v>
      </c>
      <c r="I31" s="208" t="s">
        <v>8</v>
      </c>
      <c r="J31" s="208" t="s">
        <v>9</v>
      </c>
      <c r="L31" s="207" t="s">
        <v>33</v>
      </c>
      <c r="M31" s="208" t="s">
        <v>3</v>
      </c>
      <c r="N31" s="208" t="s">
        <v>4</v>
      </c>
      <c r="O31" s="208" t="s">
        <v>5</v>
      </c>
      <c r="P31" s="208" t="s">
        <v>6</v>
      </c>
      <c r="Q31" s="208" t="s">
        <v>7</v>
      </c>
      <c r="R31" s="208" t="s">
        <v>8</v>
      </c>
      <c r="S31" s="208" t="s">
        <v>9</v>
      </c>
    </row>
    <row r="32" spans="3:19" ht="34.5" hidden="1" customHeight="1">
      <c r="C32" s="176" t="s">
        <v>10</v>
      </c>
      <c r="D32" s="211"/>
      <c r="E32" s="204">
        <v>47837144.444444403</v>
      </c>
      <c r="F32" s="211"/>
      <c r="G32" s="211"/>
      <c r="H32" s="211"/>
      <c r="I32" s="285" t="s">
        <v>34</v>
      </c>
      <c r="J32" s="204"/>
      <c r="L32" s="176" t="s">
        <v>10</v>
      </c>
      <c r="M32" s="211"/>
      <c r="N32" s="204">
        <v>47998800</v>
      </c>
      <c r="O32" s="204">
        <v>39787550</v>
      </c>
      <c r="P32" s="204">
        <v>32400823.846153799</v>
      </c>
      <c r="Q32" s="204">
        <v>37692201</v>
      </c>
      <c r="R32" s="204"/>
      <c r="S32" s="204"/>
    </row>
    <row r="33" spans="2:19" ht="34.5" hidden="1" customHeight="1">
      <c r="C33" s="176" t="s">
        <v>15</v>
      </c>
      <c r="D33" s="211"/>
      <c r="E33" s="204">
        <v>52679761.538461603</v>
      </c>
      <c r="F33" s="211"/>
      <c r="G33" s="211"/>
      <c r="H33" s="211"/>
      <c r="I33" s="286"/>
      <c r="J33" s="204"/>
      <c r="L33" s="176" t="s">
        <v>15</v>
      </c>
      <c r="M33" s="211"/>
      <c r="N33" s="204">
        <v>52473500</v>
      </c>
      <c r="O33" s="204">
        <v>47142080</v>
      </c>
      <c r="P33" s="204">
        <v>37370924.545454502</v>
      </c>
      <c r="Q33" s="204">
        <v>41509129.5</v>
      </c>
      <c r="R33" s="204"/>
      <c r="S33" s="204"/>
    </row>
    <row r="34" spans="2:19" ht="34.5" hidden="1" customHeight="1">
      <c r="C34" s="176" t="s">
        <v>17</v>
      </c>
      <c r="D34" s="211"/>
      <c r="E34" s="204">
        <v>50569600</v>
      </c>
      <c r="F34" s="211"/>
      <c r="G34" s="211"/>
      <c r="H34" s="211"/>
      <c r="I34" s="287"/>
      <c r="J34" s="204"/>
      <c r="L34" s="176" t="s">
        <v>17</v>
      </c>
      <c r="M34" s="211"/>
      <c r="N34" s="204">
        <v>51028000</v>
      </c>
      <c r="O34" s="204">
        <v>44867260</v>
      </c>
      <c r="P34" s="204">
        <v>36015470</v>
      </c>
      <c r="Q34" s="204">
        <v>39358463</v>
      </c>
      <c r="R34" s="204"/>
      <c r="S34" s="204"/>
    </row>
    <row r="35" spans="2:19" ht="34.5" hidden="1" customHeight="1">
      <c r="C35" s="176" t="s">
        <v>19</v>
      </c>
      <c r="D35" s="211">
        <f t="shared" ref="D35:J35" si="9">SUM(D32:D34)</f>
        <v>0</v>
      </c>
      <c r="E35" s="204">
        <f t="shared" si="9"/>
        <v>151086505.98290601</v>
      </c>
      <c r="F35" s="211"/>
      <c r="G35" s="211">
        <f t="shared" si="9"/>
        <v>0</v>
      </c>
      <c r="H35" s="211">
        <f t="shared" si="9"/>
        <v>0</v>
      </c>
      <c r="I35" s="204">
        <f t="shared" si="9"/>
        <v>0</v>
      </c>
      <c r="J35" s="204">
        <f t="shared" si="9"/>
        <v>0</v>
      </c>
      <c r="L35" s="176" t="s">
        <v>19</v>
      </c>
      <c r="M35" s="211">
        <f t="shared" ref="M35:R35" si="10">SUM(M32:M34)</f>
        <v>0</v>
      </c>
      <c r="N35" s="204">
        <f t="shared" si="10"/>
        <v>151500300</v>
      </c>
      <c r="O35" s="204">
        <f t="shared" si="10"/>
        <v>131796890</v>
      </c>
      <c r="P35" s="204">
        <f t="shared" si="10"/>
        <v>105787218.3916083</v>
      </c>
      <c r="Q35" s="204">
        <f t="shared" si="10"/>
        <v>118559793.5</v>
      </c>
      <c r="R35" s="204">
        <f t="shared" si="10"/>
        <v>0</v>
      </c>
      <c r="S35" s="204"/>
    </row>
    <row r="36" spans="2:19" ht="34.5" hidden="1" customHeight="1">
      <c r="C36" s="176" t="s">
        <v>20</v>
      </c>
      <c r="D36" s="204"/>
      <c r="E36" s="210">
        <f>AVERAGE(E32:E34)</f>
        <v>50362168.660968669</v>
      </c>
      <c r="F36" s="204"/>
      <c r="G36" s="204"/>
      <c r="H36" s="204"/>
      <c r="I36" s="204"/>
      <c r="J36" s="204"/>
      <c r="L36" s="176" t="s">
        <v>20</v>
      </c>
      <c r="M36" s="204"/>
      <c r="N36" s="204">
        <f t="shared" ref="N36:Q36" si="11">AVERAGE(N32:N34)</f>
        <v>50500100</v>
      </c>
      <c r="O36" s="204">
        <f t="shared" si="11"/>
        <v>43932296.666666664</v>
      </c>
      <c r="P36" s="210">
        <f t="shared" si="11"/>
        <v>35262406.130536102</v>
      </c>
      <c r="Q36" s="204">
        <f t="shared" si="11"/>
        <v>39519931.166666664</v>
      </c>
      <c r="R36" s="204"/>
      <c r="S36" s="204">
        <f>+P36-M36</f>
        <v>35262406.130536102</v>
      </c>
    </row>
    <row r="37" spans="2:19" hidden="1"/>
    <row r="38" spans="2:19" ht="37.5" hidden="1" customHeight="1">
      <c r="C38" s="207" t="s">
        <v>35</v>
      </c>
      <c r="D38" s="208" t="s">
        <v>32</v>
      </c>
      <c r="E38" s="208" t="s">
        <v>4</v>
      </c>
      <c r="F38" s="208"/>
      <c r="G38" s="208" t="s">
        <v>6</v>
      </c>
      <c r="H38" s="208" t="s">
        <v>7</v>
      </c>
      <c r="I38" s="208" t="s">
        <v>8</v>
      </c>
      <c r="J38" s="208" t="s">
        <v>9</v>
      </c>
      <c r="L38" s="207" t="s">
        <v>36</v>
      </c>
      <c r="M38" s="208" t="s">
        <v>3</v>
      </c>
      <c r="N38" s="208" t="s">
        <v>4</v>
      </c>
      <c r="O38" s="208" t="s">
        <v>5</v>
      </c>
      <c r="P38" s="208" t="s">
        <v>6</v>
      </c>
      <c r="Q38" s="208" t="s">
        <v>7</v>
      </c>
      <c r="R38" s="208" t="s">
        <v>8</v>
      </c>
      <c r="S38" s="208" t="s">
        <v>9</v>
      </c>
    </row>
    <row r="39" spans="2:19" ht="37.5" hidden="1" customHeight="1">
      <c r="C39" s="176" t="s">
        <v>10</v>
      </c>
      <c r="D39" s="211"/>
      <c r="E39" s="204">
        <v>44779033.333333299</v>
      </c>
      <c r="F39" s="211"/>
      <c r="G39" s="204">
        <v>43140634.306172803</v>
      </c>
      <c r="H39" s="211"/>
      <c r="I39" s="288" t="s">
        <v>37</v>
      </c>
      <c r="J39" s="204"/>
      <c r="L39" s="176" t="s">
        <v>10</v>
      </c>
      <c r="M39" s="211"/>
      <c r="N39" s="204">
        <v>48954800</v>
      </c>
      <c r="O39" s="211"/>
      <c r="P39" s="211"/>
      <c r="Q39" s="211"/>
      <c r="R39" s="204"/>
      <c r="S39" s="204"/>
    </row>
    <row r="40" spans="2:19" ht="37.5" hidden="1" customHeight="1">
      <c r="C40" s="176" t="s">
        <v>15</v>
      </c>
      <c r="D40" s="211"/>
      <c r="E40" s="204">
        <v>49604300</v>
      </c>
      <c r="F40" s="211"/>
      <c r="G40" s="204">
        <v>48544446.959259301</v>
      </c>
      <c r="H40" s="211"/>
      <c r="I40" s="289"/>
      <c r="J40" s="204"/>
      <c r="L40" s="176" t="s">
        <v>15</v>
      </c>
      <c r="M40" s="211"/>
      <c r="N40" s="204">
        <v>53734500</v>
      </c>
      <c r="O40" s="211"/>
      <c r="P40" s="211"/>
      <c r="Q40" s="211"/>
      <c r="R40" s="204"/>
      <c r="S40" s="204"/>
    </row>
    <row r="41" spans="2:19" ht="37.5" hidden="1" customHeight="1">
      <c r="C41" s="176" t="s">
        <v>17</v>
      </c>
      <c r="D41" s="211"/>
      <c r="E41" s="204">
        <v>47565933.333333299</v>
      </c>
      <c r="F41" s="211"/>
      <c r="G41" s="204">
        <v>46842024.918518499</v>
      </c>
      <c r="H41" s="211"/>
      <c r="I41" s="290"/>
      <c r="J41" s="204"/>
      <c r="L41" s="176" t="s">
        <v>17</v>
      </c>
      <c r="M41" s="211"/>
      <c r="N41" s="204">
        <v>52290000</v>
      </c>
      <c r="O41" s="211"/>
      <c r="P41" s="211"/>
      <c r="Q41" s="211"/>
      <c r="R41" s="204"/>
      <c r="S41" s="204"/>
    </row>
    <row r="42" spans="2:19" ht="37.5" hidden="1" customHeight="1">
      <c r="C42" s="176" t="s">
        <v>19</v>
      </c>
      <c r="D42" s="211">
        <f t="shared" ref="D42:J42" si="12">SUM(D39:D41)</f>
        <v>0</v>
      </c>
      <c r="E42" s="204">
        <f t="shared" si="12"/>
        <v>141949266.6666666</v>
      </c>
      <c r="F42" s="211"/>
      <c r="G42" s="204">
        <f t="shared" si="12"/>
        <v>138527106.1839506</v>
      </c>
      <c r="H42" s="211">
        <f t="shared" si="12"/>
        <v>0</v>
      </c>
      <c r="I42" s="204">
        <f t="shared" si="12"/>
        <v>0</v>
      </c>
      <c r="J42" s="204">
        <f t="shared" si="12"/>
        <v>0</v>
      </c>
      <c r="L42" s="176" t="s">
        <v>19</v>
      </c>
      <c r="M42" s="211">
        <f t="shared" ref="M42:S42" si="13">SUM(M39:M41)</f>
        <v>0</v>
      </c>
      <c r="N42" s="204">
        <f t="shared" si="13"/>
        <v>154979300</v>
      </c>
      <c r="O42" s="211">
        <f t="shared" si="13"/>
        <v>0</v>
      </c>
      <c r="P42" s="211">
        <f t="shared" si="13"/>
        <v>0</v>
      </c>
      <c r="Q42" s="211">
        <f t="shared" si="13"/>
        <v>0</v>
      </c>
      <c r="R42" s="204">
        <f t="shared" si="13"/>
        <v>0</v>
      </c>
      <c r="S42" s="204">
        <f t="shared" si="13"/>
        <v>0</v>
      </c>
    </row>
    <row r="43" spans="2:19" ht="37.5" hidden="1" customHeight="1">
      <c r="C43" s="176" t="s">
        <v>20</v>
      </c>
      <c r="D43" s="204"/>
      <c r="E43" s="210">
        <f>AVERAGE(E39:E41)</f>
        <v>47316422.222222202</v>
      </c>
      <c r="F43" s="204"/>
      <c r="G43" s="210">
        <f>AVERAGE(G39:G41)</f>
        <v>46175702.06131687</v>
      </c>
      <c r="H43" s="204"/>
      <c r="I43" s="204"/>
      <c r="J43" s="204"/>
      <c r="L43" s="176" t="s">
        <v>20</v>
      </c>
      <c r="M43" s="204"/>
      <c r="N43" s="210">
        <f>AVERAGE(N39:N41)</f>
        <v>51659766.666666664</v>
      </c>
      <c r="O43" s="204"/>
      <c r="P43" s="204"/>
      <c r="Q43" s="204"/>
      <c r="R43" s="204"/>
      <c r="S43" s="204">
        <f>+P43-M43</f>
        <v>0</v>
      </c>
    </row>
    <row r="44" spans="2:19" hidden="1"/>
    <row r="45" spans="2:19" hidden="1"/>
    <row r="48" spans="2:19" ht="24" customHeight="1">
      <c r="B48" s="275" t="s">
        <v>38</v>
      </c>
      <c r="C48" s="274" t="s">
        <v>39</v>
      </c>
      <c r="D48" s="274" t="s">
        <v>40</v>
      </c>
      <c r="E48" s="274" t="s">
        <v>41</v>
      </c>
      <c r="F48" s="268" t="s">
        <v>3</v>
      </c>
      <c r="G48" s="269"/>
      <c r="H48" s="268" t="s">
        <v>42</v>
      </c>
      <c r="I48" s="269"/>
      <c r="J48" s="274" t="s">
        <v>43</v>
      </c>
      <c r="K48" s="274" t="s">
        <v>8</v>
      </c>
      <c r="L48" s="274"/>
      <c r="M48" s="274"/>
    </row>
    <row r="49" spans="2:16" ht="24" customHeight="1">
      <c r="B49" s="275"/>
      <c r="C49" s="274"/>
      <c r="D49" s="274"/>
      <c r="E49" s="274"/>
      <c r="F49" s="3" t="s">
        <v>1</v>
      </c>
      <c r="G49" s="6" t="s">
        <v>44</v>
      </c>
      <c r="H49" s="6" t="s">
        <v>1</v>
      </c>
      <c r="I49" s="6" t="s">
        <v>44</v>
      </c>
      <c r="J49" s="274"/>
      <c r="K49" s="274"/>
      <c r="L49" s="274"/>
      <c r="M49" s="274"/>
    </row>
    <row r="50" spans="2:16" ht="38.25" customHeight="1">
      <c r="B50" s="176" t="s">
        <v>4</v>
      </c>
      <c r="C50" s="176" t="s">
        <v>45</v>
      </c>
      <c r="D50" s="176" t="s">
        <v>10</v>
      </c>
      <c r="E50" s="131">
        <v>1</v>
      </c>
      <c r="F50" s="202">
        <f>Lexus!E16</f>
        <v>85121795</v>
      </c>
      <c r="G50" s="202">
        <f t="shared" ref="G50:G53" si="14">+F50*E50</f>
        <v>85121795</v>
      </c>
      <c r="H50" s="202">
        <f>Lexus!N17</f>
        <v>148071400</v>
      </c>
      <c r="I50" s="202">
        <f t="shared" ref="I50:I53" si="15">+H50*E50</f>
        <v>148071400</v>
      </c>
      <c r="J50" s="212">
        <f t="shared" ref="J50:J53" si="16">+I50-G50</f>
        <v>62949605</v>
      </c>
      <c r="K50" s="270" t="s">
        <v>46</v>
      </c>
      <c r="L50" s="271"/>
      <c r="M50" s="271"/>
    </row>
    <row r="51" spans="2:16" ht="31.5" customHeight="1">
      <c r="B51" s="276" t="s">
        <v>4</v>
      </c>
      <c r="C51" s="279" t="s">
        <v>47</v>
      </c>
      <c r="D51" s="176" t="s">
        <v>10</v>
      </c>
      <c r="E51" s="131">
        <v>1</v>
      </c>
      <c r="F51" s="202">
        <f>'Camry 2.5G'!E16</f>
        <v>42471157</v>
      </c>
      <c r="G51" s="202">
        <f t="shared" si="14"/>
        <v>42471157</v>
      </c>
      <c r="H51" s="202">
        <f>'Camry 2.5G'!E31</f>
        <v>40682600</v>
      </c>
      <c r="I51" s="202">
        <f t="shared" si="15"/>
        <v>40682600</v>
      </c>
      <c r="J51" s="212">
        <f t="shared" si="16"/>
        <v>-1788557</v>
      </c>
      <c r="K51" s="270" t="s">
        <v>14</v>
      </c>
      <c r="L51" s="271"/>
      <c r="M51" s="271"/>
    </row>
    <row r="52" spans="2:16" ht="31.5" customHeight="1">
      <c r="B52" s="277"/>
      <c r="C52" s="280"/>
      <c r="D52" s="176" t="s">
        <v>15</v>
      </c>
      <c r="E52" s="131">
        <v>1</v>
      </c>
      <c r="F52" s="202">
        <f>'Camry 2.5G'!H16</f>
        <v>45837757</v>
      </c>
      <c r="G52" s="202">
        <f t="shared" si="14"/>
        <v>45837757</v>
      </c>
      <c r="H52" s="202">
        <f>'Camry 2.5G'!H31</f>
        <v>45223800</v>
      </c>
      <c r="I52" s="202">
        <f t="shared" si="15"/>
        <v>45223800</v>
      </c>
      <c r="J52" s="212">
        <f t="shared" si="16"/>
        <v>-613957</v>
      </c>
      <c r="K52" s="270" t="s">
        <v>16</v>
      </c>
      <c r="L52" s="271"/>
      <c r="M52" s="271"/>
    </row>
    <row r="53" spans="2:16" ht="31.5" customHeight="1">
      <c r="B53" s="277"/>
      <c r="C53" s="280"/>
      <c r="D53" s="176" t="s">
        <v>17</v>
      </c>
      <c r="E53" s="131">
        <v>1</v>
      </c>
      <c r="F53" s="202">
        <f>'Camry 2.5G'!K16</f>
        <v>44133157</v>
      </c>
      <c r="G53" s="202">
        <f t="shared" si="14"/>
        <v>44133157</v>
      </c>
      <c r="H53" s="202">
        <f>'Camry 2.5G'!K31</f>
        <v>42965200</v>
      </c>
      <c r="I53" s="202">
        <f t="shared" si="15"/>
        <v>42965200</v>
      </c>
      <c r="J53" s="212">
        <f t="shared" si="16"/>
        <v>-1167957</v>
      </c>
      <c r="K53" s="271"/>
      <c r="L53" s="271"/>
      <c r="M53" s="271"/>
    </row>
    <row r="54" spans="2:16" ht="24" customHeight="1">
      <c r="B54" s="278"/>
      <c r="C54" s="281"/>
      <c r="D54" s="194" t="s">
        <v>48</v>
      </c>
      <c r="E54" s="178">
        <f t="shared" ref="E54:J54" si="17">SUM(E51:E53)</f>
        <v>3</v>
      </c>
      <c r="F54" s="214">
        <f t="shared" si="17"/>
        <v>132442071</v>
      </c>
      <c r="G54" s="214">
        <f t="shared" si="17"/>
        <v>132442071</v>
      </c>
      <c r="H54" s="214">
        <f t="shared" si="17"/>
        <v>128871600</v>
      </c>
      <c r="I54" s="214">
        <f t="shared" si="17"/>
        <v>128871600</v>
      </c>
      <c r="J54" s="217">
        <f t="shared" si="17"/>
        <v>-3570471</v>
      </c>
      <c r="K54" s="271"/>
      <c r="L54" s="271"/>
      <c r="M54" s="271"/>
    </row>
    <row r="55" spans="2:16" ht="31.5" customHeight="1">
      <c r="B55" s="279" t="s">
        <v>6</v>
      </c>
      <c r="C55" s="279" t="s">
        <v>47</v>
      </c>
      <c r="D55" s="176" t="s">
        <v>10</v>
      </c>
      <c r="E55" s="131">
        <v>1</v>
      </c>
      <c r="F55" s="202">
        <f>F51</f>
        <v>42471157</v>
      </c>
      <c r="G55" s="202">
        <f t="shared" ref="G55:G57" si="18">+F55*E55</f>
        <v>42471157</v>
      </c>
      <c r="H55" s="202">
        <f>'Camry 2.5G'!E60</f>
        <v>33197822</v>
      </c>
      <c r="I55" s="202">
        <f t="shared" ref="I55:I57" si="19">+H55*E55</f>
        <v>33197822</v>
      </c>
      <c r="J55" s="212">
        <f t="shared" ref="J55:J57" si="20">+I55-G55</f>
        <v>-9273335</v>
      </c>
      <c r="K55" s="270" t="s">
        <v>14</v>
      </c>
      <c r="L55" s="271"/>
      <c r="M55" s="271"/>
    </row>
    <row r="56" spans="2:16" ht="31.5" customHeight="1">
      <c r="B56" s="280"/>
      <c r="C56" s="280"/>
      <c r="D56" s="176" t="s">
        <v>15</v>
      </c>
      <c r="E56" s="131">
        <v>1</v>
      </c>
      <c r="F56" s="202">
        <f>F52</f>
        <v>45837757</v>
      </c>
      <c r="G56" s="202">
        <f t="shared" si="18"/>
        <v>45837757</v>
      </c>
      <c r="H56" s="202">
        <f>'Camry 2.5G'!H60</f>
        <v>38273422</v>
      </c>
      <c r="I56" s="202">
        <f t="shared" si="19"/>
        <v>38273422</v>
      </c>
      <c r="J56" s="212">
        <f t="shared" si="20"/>
        <v>-7564335</v>
      </c>
      <c r="K56" s="270" t="s">
        <v>16</v>
      </c>
      <c r="L56" s="271"/>
      <c r="M56" s="271"/>
    </row>
    <row r="57" spans="2:16" ht="31.5" customHeight="1">
      <c r="B57" s="280"/>
      <c r="C57" s="280"/>
      <c r="D57" s="176" t="s">
        <v>17</v>
      </c>
      <c r="E57" s="131">
        <v>1</v>
      </c>
      <c r="F57" s="202">
        <f>F53</f>
        <v>44133157</v>
      </c>
      <c r="G57" s="202">
        <f t="shared" si="18"/>
        <v>44133157</v>
      </c>
      <c r="H57" s="202">
        <f>'Camry 2.5G'!K60</f>
        <v>35764522</v>
      </c>
      <c r="I57" s="202">
        <f t="shared" si="19"/>
        <v>35764522</v>
      </c>
      <c r="J57" s="212">
        <f t="shared" si="20"/>
        <v>-8368635</v>
      </c>
      <c r="K57" s="271"/>
      <c r="L57" s="271"/>
      <c r="M57" s="271"/>
    </row>
    <row r="58" spans="2:16" ht="31.5" customHeight="1">
      <c r="B58" s="281"/>
      <c r="C58" s="281"/>
      <c r="D58" s="194" t="s">
        <v>48</v>
      </c>
      <c r="E58" s="178">
        <f t="shared" ref="E58:J58" si="21">SUM(E55:E57)</f>
        <v>3</v>
      </c>
      <c r="F58" s="214">
        <f t="shared" si="21"/>
        <v>132442071</v>
      </c>
      <c r="G58" s="214">
        <f t="shared" si="21"/>
        <v>132442071</v>
      </c>
      <c r="H58" s="214">
        <f t="shared" si="21"/>
        <v>107235766</v>
      </c>
      <c r="I58" s="214">
        <f t="shared" si="21"/>
        <v>107235766</v>
      </c>
      <c r="J58" s="217">
        <f t="shared" si="21"/>
        <v>-25206305</v>
      </c>
      <c r="K58" s="272" t="s">
        <v>49</v>
      </c>
      <c r="L58" s="273"/>
      <c r="M58" s="273"/>
      <c r="N58" s="21">
        <f>J54-J58</f>
        <v>21635834</v>
      </c>
    </row>
    <row r="59" spans="2:16" ht="27" customHeight="1">
      <c r="B59" s="279" t="s">
        <v>6</v>
      </c>
      <c r="C59" s="279" t="s">
        <v>50</v>
      </c>
      <c r="D59" s="176" t="s">
        <v>10</v>
      </c>
      <c r="E59" s="131">
        <v>11</v>
      </c>
      <c r="F59" s="202">
        <f t="shared" ref="F59:F63" si="22">+G59/E59</f>
        <v>31078772.727272727</v>
      </c>
      <c r="G59" s="202">
        <f>'Innova '!E16</f>
        <v>341866500</v>
      </c>
      <c r="H59" s="202">
        <f t="shared" ref="H59:H63" si="23">+I59/E59</f>
        <v>30564345.272727273</v>
      </c>
      <c r="I59" s="202">
        <f>'Innova '!T78</f>
        <v>336207798</v>
      </c>
      <c r="J59" s="212">
        <f t="shared" ref="J59:J63" si="24">+I59-G59</f>
        <v>-5658702</v>
      </c>
      <c r="K59" s="270" t="s">
        <v>24</v>
      </c>
      <c r="L59" s="271"/>
      <c r="M59" s="271"/>
      <c r="N59" s="133">
        <f>N58/23000</f>
        <v>940.68843478260874</v>
      </c>
      <c r="O59">
        <f t="shared" ref="O59:O62" si="25">+F59/4000</f>
        <v>7769.693181818182</v>
      </c>
      <c r="P59">
        <f t="shared" ref="P59:P62" si="26">+H59/4300</f>
        <v>7107.9872727272732</v>
      </c>
    </row>
    <row r="60" spans="2:16" ht="28.5" customHeight="1">
      <c r="B60" s="280"/>
      <c r="C60" s="280"/>
      <c r="D60" s="176" t="s">
        <v>15</v>
      </c>
      <c r="E60" s="131">
        <v>7</v>
      </c>
      <c r="F60" s="202">
        <f t="shared" si="22"/>
        <v>31942000</v>
      </c>
      <c r="G60" s="202">
        <f>'Innova '!H16</f>
        <v>223594000</v>
      </c>
      <c r="H60" s="202">
        <f t="shared" si="23"/>
        <v>34883295.142857142</v>
      </c>
      <c r="I60" s="202">
        <f>'Innova '!W78</f>
        <v>244183066</v>
      </c>
      <c r="J60" s="212">
        <f t="shared" si="24"/>
        <v>20589066</v>
      </c>
      <c r="K60" s="291" t="s">
        <v>135</v>
      </c>
      <c r="L60" s="292"/>
      <c r="M60" s="293"/>
      <c r="N60" s="22" t="s">
        <v>52</v>
      </c>
      <c r="O60">
        <f t="shared" si="25"/>
        <v>7985.5</v>
      </c>
      <c r="P60">
        <f t="shared" si="26"/>
        <v>8112.3942192691029</v>
      </c>
    </row>
    <row r="61" spans="2:16" ht="28.5" customHeight="1">
      <c r="B61" s="280"/>
      <c r="C61" s="280"/>
      <c r="D61" s="215" t="s">
        <v>17</v>
      </c>
      <c r="E61" s="131">
        <v>1</v>
      </c>
      <c r="F61" s="202">
        <f t="shared" si="22"/>
        <v>44789186</v>
      </c>
      <c r="G61" s="202">
        <f>'Innova '!E32</f>
        <v>44789186</v>
      </c>
      <c r="H61" s="202">
        <f t="shared" si="23"/>
        <v>35320438</v>
      </c>
      <c r="I61" s="202">
        <f>'Innova '!H32</f>
        <v>35320438</v>
      </c>
      <c r="J61" s="212">
        <f t="shared" si="24"/>
        <v>-9468748</v>
      </c>
      <c r="K61" s="294"/>
      <c r="L61" s="295"/>
      <c r="M61" s="296"/>
      <c r="N61" s="22"/>
      <c r="O61">
        <f t="shared" si="25"/>
        <v>11197.2965</v>
      </c>
      <c r="P61">
        <f t="shared" si="26"/>
        <v>8214.0553488372097</v>
      </c>
    </row>
    <row r="62" spans="2:16" ht="28.5" customHeight="1">
      <c r="B62" s="280"/>
      <c r="C62" s="281"/>
      <c r="D62" s="176" t="s">
        <v>17</v>
      </c>
      <c r="E62" s="131">
        <v>7</v>
      </c>
      <c r="F62" s="202">
        <f t="shared" si="22"/>
        <v>31579357.142857142</v>
      </c>
      <c r="G62" s="202">
        <f>'Innova '!K16</f>
        <v>221055500</v>
      </c>
      <c r="H62" s="202">
        <f t="shared" si="23"/>
        <v>34611866.571428575</v>
      </c>
      <c r="I62" s="202">
        <f>'Innova '!Z78</f>
        <v>242283066</v>
      </c>
      <c r="J62" s="212">
        <f t="shared" si="24"/>
        <v>21227566</v>
      </c>
      <c r="K62" s="297"/>
      <c r="L62" s="298"/>
      <c r="M62" s="299"/>
      <c r="O62">
        <f t="shared" si="25"/>
        <v>7894.8392857142853</v>
      </c>
      <c r="P62">
        <f t="shared" si="26"/>
        <v>8049.2712956810637</v>
      </c>
    </row>
    <row r="63" spans="2:16" ht="37.5" customHeight="1">
      <c r="B63" s="280"/>
      <c r="C63" s="162" t="s">
        <v>53</v>
      </c>
      <c r="D63" s="176" t="s">
        <v>15</v>
      </c>
      <c r="E63" s="131">
        <v>1</v>
      </c>
      <c r="F63" s="202">
        <f t="shared" si="22"/>
        <v>44977000</v>
      </c>
      <c r="G63" s="202">
        <f>'Innova '!N16</f>
        <v>44977000</v>
      </c>
      <c r="H63" s="202">
        <f t="shared" si="23"/>
        <v>41645677.777777798</v>
      </c>
      <c r="I63" s="202">
        <f>'Innova '!AC78</f>
        <v>41645677.777777798</v>
      </c>
      <c r="J63" s="212">
        <f t="shared" si="24"/>
        <v>-3331322.2222222015</v>
      </c>
      <c r="K63" s="270" t="s">
        <v>54</v>
      </c>
      <c r="L63" s="271"/>
      <c r="M63" s="271"/>
      <c r="O63">
        <f>+F63/2600</f>
        <v>17298.846153846152</v>
      </c>
      <c r="P63">
        <f>+H63/4500</f>
        <v>9254.5950617283997</v>
      </c>
    </row>
    <row r="64" spans="2:16" ht="25.5" customHeight="1">
      <c r="B64" s="281"/>
      <c r="C64" s="213"/>
      <c r="D64" s="194" t="s">
        <v>48</v>
      </c>
      <c r="E64" s="178">
        <f t="shared" ref="E64:J64" si="27">SUM(E59:E63)</f>
        <v>27</v>
      </c>
      <c r="F64" s="214">
        <f t="shared" si="27"/>
        <v>184366315.87012985</v>
      </c>
      <c r="G64" s="214">
        <f t="shared" si="27"/>
        <v>876282186</v>
      </c>
      <c r="H64" s="214">
        <f t="shared" si="27"/>
        <v>177025622.76479077</v>
      </c>
      <c r="I64" s="214">
        <f t="shared" si="27"/>
        <v>899640045.77777779</v>
      </c>
      <c r="J64" s="217">
        <f t="shared" si="27"/>
        <v>23357859.777777798</v>
      </c>
      <c r="K64" s="272" t="s">
        <v>55</v>
      </c>
      <c r="L64" s="273"/>
      <c r="M64" s="273"/>
      <c r="O64" s="21"/>
    </row>
    <row r="65" spans="2:15" ht="27" customHeight="1">
      <c r="B65" s="279" t="s">
        <v>5</v>
      </c>
      <c r="C65" s="279" t="s">
        <v>50</v>
      </c>
      <c r="D65" s="176" t="s">
        <v>10</v>
      </c>
      <c r="E65" s="131">
        <v>11</v>
      </c>
      <c r="F65" s="202">
        <f t="shared" ref="F65:F69" si="28">+G65/E65</f>
        <v>31078772.727272727</v>
      </c>
      <c r="G65" s="202">
        <f>G59</f>
        <v>341866500</v>
      </c>
      <c r="H65" s="202">
        <f t="shared" ref="H65:H69" si="29">+I65/E65</f>
        <v>35651556.363636367</v>
      </c>
      <c r="I65" s="202">
        <f>'Innova '!T62</f>
        <v>392167120</v>
      </c>
      <c r="J65" s="212">
        <f t="shared" ref="J65:J69" si="30">+I65-G65</f>
        <v>50300620</v>
      </c>
      <c r="K65" s="270" t="s">
        <v>24</v>
      </c>
      <c r="L65" s="271"/>
      <c r="M65" s="271"/>
    </row>
    <row r="66" spans="2:15" ht="28.5" customHeight="1">
      <c r="B66" s="280"/>
      <c r="C66" s="280"/>
      <c r="D66" s="176" t="s">
        <v>15</v>
      </c>
      <c r="E66" s="131">
        <v>7</v>
      </c>
      <c r="F66" s="202">
        <f t="shared" si="28"/>
        <v>31942000</v>
      </c>
      <c r="G66" s="202">
        <f>G60</f>
        <v>223594000</v>
      </c>
      <c r="H66" s="202">
        <f t="shared" si="29"/>
        <v>39540508.571428575</v>
      </c>
      <c r="I66" s="202">
        <f>'Innova '!W62</f>
        <v>276783560</v>
      </c>
      <c r="J66" s="212">
        <f t="shared" si="30"/>
        <v>53189560</v>
      </c>
      <c r="K66" s="291" t="s">
        <v>135</v>
      </c>
      <c r="L66" s="292"/>
      <c r="M66" s="293"/>
      <c r="N66" s="22" t="s">
        <v>52</v>
      </c>
    </row>
    <row r="67" spans="2:15" ht="28.5" customHeight="1">
      <c r="B67" s="280"/>
      <c r="C67" s="280"/>
      <c r="D67" s="176" t="s">
        <v>17</v>
      </c>
      <c r="E67" s="131">
        <v>1</v>
      </c>
      <c r="F67" s="202">
        <f>+F61</f>
        <v>44789186</v>
      </c>
      <c r="G67" s="202">
        <f>G61</f>
        <v>44789186</v>
      </c>
      <c r="H67" s="202">
        <f t="shared" si="29"/>
        <v>38479080</v>
      </c>
      <c r="I67" s="202">
        <f>'Innova '!K32</f>
        <v>38479080</v>
      </c>
      <c r="J67" s="212">
        <f t="shared" si="30"/>
        <v>-6310106</v>
      </c>
      <c r="K67" s="294"/>
      <c r="L67" s="295"/>
      <c r="M67" s="296"/>
      <c r="N67" s="22"/>
    </row>
    <row r="68" spans="2:15" ht="28.5" customHeight="1">
      <c r="B68" s="280"/>
      <c r="C68" s="281"/>
      <c r="D68" s="176" t="s">
        <v>17</v>
      </c>
      <c r="E68" s="131">
        <v>7</v>
      </c>
      <c r="F68" s="202">
        <f t="shared" si="28"/>
        <v>31579357.142857142</v>
      </c>
      <c r="G68" s="202">
        <f>G62</f>
        <v>221055500</v>
      </c>
      <c r="H68" s="202">
        <f t="shared" si="29"/>
        <v>39195270.47619047</v>
      </c>
      <c r="I68" s="202">
        <f>'Innova '!Z62</f>
        <v>274366893.33333331</v>
      </c>
      <c r="J68" s="212">
        <f t="shared" si="30"/>
        <v>53311393.333333313</v>
      </c>
      <c r="K68" s="297"/>
      <c r="L68" s="298"/>
      <c r="M68" s="299"/>
    </row>
    <row r="69" spans="2:15" ht="37.5" customHeight="1">
      <c r="B69" s="280"/>
      <c r="C69" s="162" t="s">
        <v>53</v>
      </c>
      <c r="D69" s="176" t="s">
        <v>15</v>
      </c>
      <c r="E69" s="131">
        <v>1</v>
      </c>
      <c r="F69" s="202">
        <f t="shared" si="28"/>
        <v>44977000</v>
      </c>
      <c r="G69" s="202">
        <f>G63</f>
        <v>44977000</v>
      </c>
      <c r="H69" s="202">
        <f t="shared" si="29"/>
        <v>47240200</v>
      </c>
      <c r="I69" s="202">
        <f>'Innova '!AC62</f>
        <v>47240200</v>
      </c>
      <c r="J69" s="212">
        <f t="shared" si="30"/>
        <v>2263200</v>
      </c>
      <c r="K69" s="270" t="s">
        <v>54</v>
      </c>
      <c r="L69" s="271"/>
      <c r="M69" s="271"/>
    </row>
    <row r="70" spans="2:15" ht="26.25" customHeight="1">
      <c r="B70" s="281"/>
      <c r="C70" s="213"/>
      <c r="D70" s="194" t="s">
        <v>48</v>
      </c>
      <c r="E70" s="178">
        <f t="shared" ref="E70:J70" si="31">SUM(E65:E69)</f>
        <v>27</v>
      </c>
      <c r="F70" s="214">
        <f t="shared" si="31"/>
        <v>184366315.87012985</v>
      </c>
      <c r="G70" s="214">
        <f t="shared" si="31"/>
        <v>876282186</v>
      </c>
      <c r="H70" s="214">
        <f t="shared" si="31"/>
        <v>200106615.41125542</v>
      </c>
      <c r="I70" s="214">
        <f t="shared" si="31"/>
        <v>1029036853.3333333</v>
      </c>
      <c r="J70" s="217">
        <f t="shared" si="31"/>
        <v>152754667.33333331</v>
      </c>
      <c r="K70" s="272" t="s">
        <v>57</v>
      </c>
      <c r="L70" s="273"/>
      <c r="M70" s="273"/>
      <c r="O70" s="21"/>
    </row>
    <row r="71" spans="2:15" ht="27" customHeight="1">
      <c r="B71" s="279" t="s">
        <v>7</v>
      </c>
      <c r="C71" s="279" t="s">
        <v>50</v>
      </c>
      <c r="D71" s="176" t="s">
        <v>10</v>
      </c>
      <c r="E71" s="131">
        <v>11</v>
      </c>
      <c r="F71" s="202">
        <f t="shared" ref="F71:F75" si="32">+G71/E71</f>
        <v>31078772.727272727</v>
      </c>
      <c r="G71" s="202">
        <f>G65</f>
        <v>341866500</v>
      </c>
      <c r="H71" s="202">
        <f t="shared" ref="H71:H75" si="33">+I71/E71</f>
        <v>35291037.909090906</v>
      </c>
      <c r="I71" s="202">
        <f>'Innova '!T99</f>
        <v>388201417</v>
      </c>
      <c r="J71" s="212">
        <f t="shared" ref="J71:J75" si="34">+I71-G71</f>
        <v>46334917</v>
      </c>
      <c r="K71" s="270" t="s">
        <v>24</v>
      </c>
      <c r="L71" s="271"/>
      <c r="M71" s="271"/>
    </row>
    <row r="72" spans="2:15" ht="28.5" customHeight="1">
      <c r="B72" s="280"/>
      <c r="C72" s="280"/>
      <c r="D72" s="176" t="s">
        <v>15</v>
      </c>
      <c r="E72" s="131">
        <v>7</v>
      </c>
      <c r="F72" s="202">
        <f t="shared" si="32"/>
        <v>31942000</v>
      </c>
      <c r="G72" s="202">
        <f>G66</f>
        <v>223594000</v>
      </c>
      <c r="H72" s="202">
        <f t="shared" si="33"/>
        <v>38196335.142857142</v>
      </c>
      <c r="I72" s="202">
        <f>'Innova '!W99</f>
        <v>267374346</v>
      </c>
      <c r="J72" s="212">
        <f t="shared" si="34"/>
        <v>43780346</v>
      </c>
      <c r="K72" s="291" t="s">
        <v>135</v>
      </c>
      <c r="L72" s="292"/>
      <c r="M72" s="293"/>
      <c r="N72" s="22" t="s">
        <v>52</v>
      </c>
    </row>
    <row r="73" spans="2:15" ht="28.5" customHeight="1">
      <c r="B73" s="280"/>
      <c r="C73" s="280"/>
      <c r="D73" s="176" t="s">
        <v>17</v>
      </c>
      <c r="E73" s="131">
        <v>1</v>
      </c>
      <c r="F73" s="202">
        <f>+F61</f>
        <v>44789186</v>
      </c>
      <c r="G73" s="202">
        <f>G67</f>
        <v>44789186</v>
      </c>
      <c r="H73" s="202">
        <f t="shared" si="33"/>
        <v>265482679.33333334</v>
      </c>
      <c r="I73" s="202">
        <f>'Innova '!Z99</f>
        <v>265482679.33333334</v>
      </c>
      <c r="J73" s="212">
        <f t="shared" si="34"/>
        <v>220693493.33333334</v>
      </c>
      <c r="K73" s="294"/>
      <c r="L73" s="295"/>
      <c r="M73" s="296"/>
      <c r="N73" s="22"/>
    </row>
    <row r="74" spans="2:15" ht="28.5" customHeight="1">
      <c r="B74" s="280"/>
      <c r="C74" s="281"/>
      <c r="D74" s="176" t="s">
        <v>17</v>
      </c>
      <c r="E74" s="131">
        <v>7</v>
      </c>
      <c r="F74" s="202">
        <f t="shared" si="32"/>
        <v>31579357.142857142</v>
      </c>
      <c r="G74" s="202">
        <f>G68</f>
        <v>221055500</v>
      </c>
      <c r="H74" s="202">
        <f t="shared" si="33"/>
        <v>5516925.4285714282</v>
      </c>
      <c r="I74" s="202">
        <f>'Innova '!N32</f>
        <v>38618478</v>
      </c>
      <c r="J74" s="212">
        <f t="shared" si="34"/>
        <v>-182437022</v>
      </c>
      <c r="K74" s="297"/>
      <c r="L74" s="298"/>
      <c r="M74" s="299"/>
    </row>
    <row r="75" spans="2:15" ht="37.5" customHeight="1">
      <c r="B75" s="280"/>
      <c r="C75" s="162" t="s">
        <v>53</v>
      </c>
      <c r="D75" s="176" t="s">
        <v>15</v>
      </c>
      <c r="E75" s="131">
        <v>1</v>
      </c>
      <c r="F75" s="202">
        <f t="shared" si="32"/>
        <v>44977000</v>
      </c>
      <c r="G75" s="202">
        <f>G69</f>
        <v>44977000</v>
      </c>
      <c r="H75" s="202">
        <f t="shared" si="33"/>
        <v>43909973</v>
      </c>
      <c r="I75" s="202">
        <f>'Innova '!AC99</f>
        <v>43909973</v>
      </c>
      <c r="J75" s="212">
        <f t="shared" si="34"/>
        <v>-1067027</v>
      </c>
      <c r="K75" s="270" t="s">
        <v>54</v>
      </c>
      <c r="L75" s="271"/>
      <c r="M75" s="271"/>
    </row>
    <row r="76" spans="2:15" ht="25.5" customHeight="1">
      <c r="B76" s="281"/>
      <c r="C76" s="213"/>
      <c r="D76" s="194" t="s">
        <v>48</v>
      </c>
      <c r="E76" s="178">
        <f t="shared" ref="E76:J76" si="35">SUM(E71:E75)</f>
        <v>27</v>
      </c>
      <c r="F76" s="214">
        <f t="shared" si="35"/>
        <v>184366315.87012985</v>
      </c>
      <c r="G76" s="214">
        <f t="shared" si="35"/>
        <v>876282186</v>
      </c>
      <c r="H76" s="214">
        <f t="shared" si="35"/>
        <v>388396950.81385279</v>
      </c>
      <c r="I76" s="214">
        <f t="shared" si="35"/>
        <v>1003586893.3333334</v>
      </c>
      <c r="J76" s="217">
        <f t="shared" si="35"/>
        <v>127304707.33333337</v>
      </c>
      <c r="K76" s="272" t="s">
        <v>56</v>
      </c>
      <c r="L76" s="273"/>
      <c r="M76" s="273"/>
      <c r="O76" s="21"/>
    </row>
    <row r="77" spans="2:15" ht="27" customHeight="1">
      <c r="B77" s="279" t="s">
        <v>6</v>
      </c>
      <c r="C77" s="279" t="s">
        <v>58</v>
      </c>
      <c r="D77" s="176" t="s">
        <v>10</v>
      </c>
      <c r="E77" s="131">
        <v>11</v>
      </c>
      <c r="F77" s="202">
        <f t="shared" ref="F77:F81" si="36">+G77/E77</f>
        <v>0</v>
      </c>
      <c r="G77" s="202"/>
      <c r="H77" s="202">
        <f t="shared" ref="H77:H81" si="37">+I77/E77</f>
        <v>29316184.90909091</v>
      </c>
      <c r="I77" s="202">
        <f>Xpander!T59</f>
        <v>322478034</v>
      </c>
      <c r="J77" s="212">
        <f t="shared" ref="J77:J81" si="38">+I77-G77</f>
        <v>322478034</v>
      </c>
      <c r="K77" s="270" t="s">
        <v>24</v>
      </c>
      <c r="L77" s="271"/>
      <c r="M77" s="271"/>
    </row>
    <row r="78" spans="2:15" ht="28.5" customHeight="1">
      <c r="B78" s="280"/>
      <c r="C78" s="280"/>
      <c r="D78" s="176" t="s">
        <v>15</v>
      </c>
      <c r="E78" s="131">
        <v>7</v>
      </c>
      <c r="F78" s="202">
        <f t="shared" si="36"/>
        <v>0</v>
      </c>
      <c r="G78" s="202"/>
      <c r="H78" s="202">
        <f t="shared" si="37"/>
        <v>33641628.285714284</v>
      </c>
      <c r="I78" s="202">
        <f>Xpander!W59</f>
        <v>235491398</v>
      </c>
      <c r="J78" s="212">
        <f t="shared" si="38"/>
        <v>235491398</v>
      </c>
      <c r="K78" s="291" t="s">
        <v>135</v>
      </c>
      <c r="L78" s="292"/>
      <c r="M78" s="293"/>
      <c r="N78" s="22" t="s">
        <v>52</v>
      </c>
    </row>
    <row r="79" spans="2:15" ht="28.5" customHeight="1">
      <c r="B79" s="280"/>
      <c r="C79" s="280"/>
      <c r="D79" s="176" t="s">
        <v>17</v>
      </c>
      <c r="E79" s="131">
        <v>1</v>
      </c>
      <c r="F79" s="202">
        <f t="shared" si="36"/>
        <v>0</v>
      </c>
      <c r="G79" s="202"/>
      <c r="H79" s="202">
        <f t="shared" si="37"/>
        <v>34060914</v>
      </c>
      <c r="I79" s="202">
        <f>Xpander!AF59</f>
        <v>34060914</v>
      </c>
      <c r="J79" s="212">
        <f t="shared" si="38"/>
        <v>34060914</v>
      </c>
      <c r="K79" s="294"/>
      <c r="L79" s="295"/>
      <c r="M79" s="296"/>
      <c r="N79" s="22"/>
    </row>
    <row r="80" spans="2:15" ht="28.5" customHeight="1">
      <c r="B80" s="280"/>
      <c r="C80" s="281"/>
      <c r="D80" s="176" t="s">
        <v>17</v>
      </c>
      <c r="E80" s="131">
        <v>7</v>
      </c>
      <c r="F80" s="202">
        <f t="shared" si="36"/>
        <v>0</v>
      </c>
      <c r="G80" s="202"/>
      <c r="H80" s="202">
        <f t="shared" si="37"/>
        <v>33363056.857142854</v>
      </c>
      <c r="I80" s="202">
        <f>Xpander!Z59</f>
        <v>233541397.99999997</v>
      </c>
      <c r="J80" s="212">
        <f t="shared" si="38"/>
        <v>233541397.99999997</v>
      </c>
      <c r="K80" s="297"/>
      <c r="L80" s="298"/>
      <c r="M80" s="299"/>
    </row>
    <row r="81" spans="2:15" ht="37.5" customHeight="1">
      <c r="B81" s="280"/>
      <c r="C81" s="162" t="s">
        <v>59</v>
      </c>
      <c r="D81" s="176" t="s">
        <v>15</v>
      </c>
      <c r="E81" s="131">
        <v>1</v>
      </c>
      <c r="F81" s="202">
        <f t="shared" si="36"/>
        <v>0</v>
      </c>
      <c r="G81" s="202"/>
      <c r="H81" s="202">
        <f t="shared" si="37"/>
        <v>40261153.968254</v>
      </c>
      <c r="I81" s="202">
        <f>Xpander!AC59</f>
        <v>40261153.968254</v>
      </c>
      <c r="J81" s="212">
        <f t="shared" si="38"/>
        <v>40261153.968254</v>
      </c>
      <c r="K81" s="270" t="s">
        <v>54</v>
      </c>
      <c r="L81" s="271"/>
      <c r="M81" s="271"/>
    </row>
    <row r="82" spans="2:15" ht="25.5" customHeight="1">
      <c r="B82" s="281"/>
      <c r="C82" s="213"/>
      <c r="D82" s="194" t="s">
        <v>48</v>
      </c>
      <c r="E82" s="178">
        <f t="shared" ref="E82:J82" si="39">SUM(E77:E81)</f>
        <v>27</v>
      </c>
      <c r="F82" s="214">
        <f t="shared" si="39"/>
        <v>0</v>
      </c>
      <c r="G82" s="214">
        <f t="shared" si="39"/>
        <v>0</v>
      </c>
      <c r="H82" s="214">
        <f t="shared" si="39"/>
        <v>170642938.02020204</v>
      </c>
      <c r="I82" s="214">
        <f t="shared" si="39"/>
        <v>865832897.96825397</v>
      </c>
      <c r="J82" s="217">
        <f t="shared" si="39"/>
        <v>865832897.96825397</v>
      </c>
      <c r="K82" s="273"/>
      <c r="L82" s="273"/>
      <c r="M82" s="273"/>
      <c r="O82" s="21"/>
    </row>
    <row r="83" spans="2:15" ht="32.1" customHeight="1">
      <c r="B83" s="276" t="s">
        <v>4</v>
      </c>
      <c r="C83" s="276" t="s">
        <v>60</v>
      </c>
      <c r="D83" s="176" t="s">
        <v>61</v>
      </c>
      <c r="E83" s="131">
        <v>18</v>
      </c>
      <c r="F83" s="202">
        <f>G83/E83</f>
        <v>43991472.081349209</v>
      </c>
      <c r="G83" s="202">
        <f>'11 seats (Hiace)'!E15</f>
        <v>791846497.46428573</v>
      </c>
      <c r="H83" s="202">
        <f>I83/E83</f>
        <v>41572091.359126985</v>
      </c>
      <c r="I83" s="202">
        <f>'11 seats (Hiace)'!Q30</f>
        <v>748297644.46428573</v>
      </c>
      <c r="J83" s="212">
        <f>+I83-G83</f>
        <v>-43548853</v>
      </c>
      <c r="K83" s="270" t="s">
        <v>62</v>
      </c>
      <c r="L83" s="271"/>
      <c r="M83" s="271"/>
    </row>
    <row r="84" spans="2:15" ht="30" customHeight="1">
      <c r="B84" s="277"/>
      <c r="C84" s="277"/>
      <c r="D84" s="176" t="s">
        <v>63</v>
      </c>
      <c r="E84" s="131">
        <v>10</v>
      </c>
      <c r="F84" s="202">
        <f>G84/E84</f>
        <v>47874595.346428573</v>
      </c>
      <c r="G84" s="202">
        <f>'11 seats (Hiace)'!Q15</f>
        <v>478745953.46428573</v>
      </c>
      <c r="H84" s="202">
        <f>I84/E84</f>
        <v>45255284.446428567</v>
      </c>
      <c r="I84" s="202">
        <f>'11 seats (Hiace)'!Q45</f>
        <v>452552844.46428567</v>
      </c>
      <c r="J84" s="212">
        <f>+I84-G84</f>
        <v>-26193109.00000006</v>
      </c>
      <c r="K84" s="271"/>
      <c r="L84" s="271"/>
      <c r="M84" s="271"/>
    </row>
    <row r="85" spans="2:15" ht="33" customHeight="1">
      <c r="B85" s="277"/>
      <c r="C85" s="277"/>
      <c r="D85" s="162" t="s">
        <v>64</v>
      </c>
      <c r="E85" s="176">
        <v>8</v>
      </c>
      <c r="F85" s="218"/>
      <c r="G85" s="218"/>
      <c r="H85" s="202">
        <f>'11 seats (Hiace)'!O60</f>
        <v>52823000</v>
      </c>
      <c r="I85" s="202">
        <f t="shared" ref="I85:I88" si="40">H85*$E$85</f>
        <v>422584000</v>
      </c>
      <c r="J85" s="219"/>
      <c r="K85" s="271"/>
      <c r="L85" s="271"/>
      <c r="M85" s="271"/>
    </row>
    <row r="86" spans="2:15" ht="33" customHeight="1">
      <c r="B86" s="277"/>
      <c r="C86" s="277"/>
      <c r="D86" s="162" t="s">
        <v>65</v>
      </c>
      <c r="E86" s="176">
        <v>8</v>
      </c>
      <c r="F86" s="218"/>
      <c r="G86" s="218"/>
      <c r="H86" s="202">
        <f>'11 seats (Hiace)'!O74</f>
        <v>48728000</v>
      </c>
      <c r="I86" s="202">
        <f t="shared" si="40"/>
        <v>389824000</v>
      </c>
      <c r="J86" s="219"/>
      <c r="K86" s="271"/>
      <c r="L86" s="271"/>
      <c r="M86" s="271"/>
    </row>
    <row r="87" spans="2:15" ht="33" customHeight="1">
      <c r="B87" s="277"/>
      <c r="C87" s="277"/>
      <c r="D87" s="162" t="s">
        <v>66</v>
      </c>
      <c r="E87" s="176">
        <v>8</v>
      </c>
      <c r="F87" s="218"/>
      <c r="G87" s="218"/>
      <c r="H87" s="202">
        <f>'11 seats (Transit)'!O96</f>
        <v>45794000</v>
      </c>
      <c r="I87" s="202">
        <f t="shared" si="40"/>
        <v>366352000</v>
      </c>
      <c r="J87" s="219"/>
      <c r="K87" s="271"/>
      <c r="L87" s="271"/>
      <c r="M87" s="271"/>
    </row>
    <row r="88" spans="2:15" ht="36.75" customHeight="1">
      <c r="B88" s="277"/>
      <c r="C88" s="277"/>
      <c r="D88" s="162" t="s">
        <v>67</v>
      </c>
      <c r="E88" s="176">
        <v>8</v>
      </c>
      <c r="F88" s="218"/>
      <c r="G88" s="218"/>
      <c r="H88" s="202">
        <f>'11 seats (Transit)'!O126</f>
        <v>42657000</v>
      </c>
      <c r="I88" s="202">
        <f t="shared" si="40"/>
        <v>341256000</v>
      </c>
      <c r="J88" s="219"/>
      <c r="K88" s="271"/>
      <c r="L88" s="271"/>
      <c r="M88" s="271"/>
    </row>
    <row r="89" spans="2:15" ht="33" customHeight="1">
      <c r="B89" s="277"/>
      <c r="C89" s="277"/>
      <c r="D89" s="162" t="s">
        <v>68</v>
      </c>
      <c r="E89" s="176" t="s">
        <v>69</v>
      </c>
      <c r="F89" s="218"/>
      <c r="G89" s="218"/>
      <c r="H89" s="202">
        <f>I89/8</f>
        <v>49308500</v>
      </c>
      <c r="I89" s="202">
        <f>4*H85+4*H87</f>
        <v>394468000</v>
      </c>
      <c r="J89" s="219"/>
      <c r="K89" s="271"/>
      <c r="L89" s="271"/>
      <c r="M89" s="271"/>
    </row>
    <row r="90" spans="2:15" ht="33" customHeight="1">
      <c r="B90" s="277"/>
      <c r="C90" s="277"/>
      <c r="D90" s="162" t="s">
        <v>70</v>
      </c>
      <c r="E90" s="176" t="s">
        <v>69</v>
      </c>
      <c r="F90" s="218"/>
      <c r="G90" s="218"/>
      <c r="H90" s="202">
        <f>I90/8</f>
        <v>45692500</v>
      </c>
      <c r="I90" s="202">
        <f>4*H86+4*H88</f>
        <v>365540000</v>
      </c>
      <c r="J90" s="219"/>
      <c r="K90" s="271"/>
      <c r="L90" s="271"/>
      <c r="M90" s="271"/>
    </row>
    <row r="91" spans="2:15" ht="33" customHeight="1">
      <c r="B91" s="277"/>
      <c r="C91" s="277"/>
      <c r="D91" s="176" t="s">
        <v>71</v>
      </c>
      <c r="E91" s="176"/>
      <c r="F91" s="202"/>
      <c r="G91" s="202">
        <f t="shared" ref="G91:G96" si="41">$G$83</f>
        <v>791846497.46428573</v>
      </c>
      <c r="H91" s="202"/>
      <c r="I91" s="202">
        <f t="shared" ref="I91:I96" si="42">$I$84+I85</f>
        <v>875136844.46428561</v>
      </c>
      <c r="J91" s="212">
        <f t="shared" ref="J91:J98" si="43">+I91-G91</f>
        <v>83290346.999999881</v>
      </c>
      <c r="K91" s="271"/>
      <c r="L91" s="271"/>
      <c r="M91" s="271"/>
    </row>
    <row r="92" spans="2:15" ht="33" customHeight="1">
      <c r="B92" s="277"/>
      <c r="C92" s="277"/>
      <c r="D92" s="176" t="s">
        <v>72</v>
      </c>
      <c r="E92" s="176"/>
      <c r="F92" s="202"/>
      <c r="G92" s="202">
        <f t="shared" si="41"/>
        <v>791846497.46428573</v>
      </c>
      <c r="H92" s="202"/>
      <c r="I92" s="202">
        <f t="shared" si="42"/>
        <v>842376844.46428561</v>
      </c>
      <c r="J92" s="212">
        <f t="shared" si="43"/>
        <v>50530346.999999881</v>
      </c>
      <c r="K92" s="271"/>
      <c r="L92" s="271"/>
      <c r="M92" s="271"/>
    </row>
    <row r="93" spans="2:15" ht="33" customHeight="1">
      <c r="B93" s="277"/>
      <c r="C93" s="277"/>
      <c r="D93" s="176" t="s">
        <v>73</v>
      </c>
      <c r="E93" s="176"/>
      <c r="F93" s="202"/>
      <c r="G93" s="202">
        <f t="shared" si="41"/>
        <v>791846497.46428573</v>
      </c>
      <c r="H93" s="202"/>
      <c r="I93" s="202">
        <f t="shared" si="42"/>
        <v>818904844.46428561</v>
      </c>
      <c r="J93" s="212">
        <f t="shared" si="43"/>
        <v>27058346.999999881</v>
      </c>
      <c r="K93" s="271"/>
      <c r="L93" s="271"/>
      <c r="M93" s="271"/>
    </row>
    <row r="94" spans="2:15" ht="33" customHeight="1">
      <c r="B94" s="277"/>
      <c r="C94" s="277"/>
      <c r="D94" s="176" t="s">
        <v>74</v>
      </c>
      <c r="E94" s="176"/>
      <c r="F94" s="202"/>
      <c r="G94" s="202">
        <f t="shared" si="41"/>
        <v>791846497.46428573</v>
      </c>
      <c r="H94" s="202"/>
      <c r="I94" s="202">
        <f t="shared" si="42"/>
        <v>793808844.46428561</v>
      </c>
      <c r="J94" s="212">
        <f t="shared" si="43"/>
        <v>1962346.9999998808</v>
      </c>
      <c r="K94" s="271"/>
      <c r="L94" s="271"/>
      <c r="M94" s="271"/>
    </row>
    <row r="95" spans="2:15" ht="33" customHeight="1">
      <c r="B95" s="277"/>
      <c r="C95" s="277"/>
      <c r="D95" s="176" t="s">
        <v>75</v>
      </c>
      <c r="E95" s="176"/>
      <c r="F95" s="202"/>
      <c r="G95" s="202">
        <f t="shared" si="41"/>
        <v>791846497.46428573</v>
      </c>
      <c r="H95" s="202"/>
      <c r="I95" s="202">
        <f t="shared" si="42"/>
        <v>847020844.46428561</v>
      </c>
      <c r="J95" s="212">
        <f t="shared" si="43"/>
        <v>55174346.999999881</v>
      </c>
      <c r="K95" s="271"/>
      <c r="L95" s="271"/>
      <c r="M95" s="271"/>
    </row>
    <row r="96" spans="2:15" ht="33" customHeight="1">
      <c r="B96" s="277"/>
      <c r="C96" s="277"/>
      <c r="D96" s="176" t="s">
        <v>76</v>
      </c>
      <c r="E96" s="176"/>
      <c r="F96" s="202"/>
      <c r="G96" s="202">
        <f t="shared" si="41"/>
        <v>791846497.46428573</v>
      </c>
      <c r="H96" s="202"/>
      <c r="I96" s="202">
        <f t="shared" si="42"/>
        <v>818092844.46428561</v>
      </c>
      <c r="J96" s="210">
        <f t="shared" si="43"/>
        <v>26246346.999999881</v>
      </c>
      <c r="K96" s="271"/>
      <c r="L96" s="271"/>
      <c r="M96" s="271"/>
    </row>
    <row r="97" spans="2:13" ht="32.1" customHeight="1">
      <c r="B97" s="276"/>
      <c r="C97" s="276" t="s">
        <v>77</v>
      </c>
      <c r="D97" s="176" t="s">
        <v>61</v>
      </c>
      <c r="E97" s="131">
        <v>19</v>
      </c>
      <c r="F97" s="202">
        <f>G97/E97</f>
        <v>50316781.684210524</v>
      </c>
      <c r="G97" s="202">
        <f>'11 seats (Hiace)'!H15</f>
        <v>956018852</v>
      </c>
      <c r="H97" s="202">
        <f>I97/E97</f>
        <v>46883504.210526317</v>
      </c>
      <c r="I97" s="202">
        <f>'11 seats (Hiace)'!T30</f>
        <v>890786580</v>
      </c>
      <c r="J97" s="212">
        <f t="shared" si="43"/>
        <v>-65232272</v>
      </c>
      <c r="K97" s="270" t="s">
        <v>78</v>
      </c>
      <c r="L97" s="271"/>
      <c r="M97" s="271"/>
    </row>
    <row r="98" spans="2:13" ht="30" customHeight="1">
      <c r="B98" s="277"/>
      <c r="C98" s="277"/>
      <c r="D98" s="176" t="s">
        <v>63</v>
      </c>
      <c r="E98" s="131">
        <v>7</v>
      </c>
      <c r="F98" s="202">
        <f>G98/E98</f>
        <v>59210156.571428575</v>
      </c>
      <c r="G98" s="202">
        <f>'11 seats (Hiace)'!T15</f>
        <v>414471096</v>
      </c>
      <c r="H98" s="202">
        <f>I98/E98</f>
        <v>55703968.571428575</v>
      </c>
      <c r="I98" s="202">
        <f>'11 seats (Hiace)'!H45</f>
        <v>389927780</v>
      </c>
      <c r="J98" s="212">
        <f t="shared" si="43"/>
        <v>-24543316</v>
      </c>
      <c r="K98" s="271"/>
      <c r="L98" s="271"/>
      <c r="M98" s="271"/>
    </row>
    <row r="99" spans="2:13" ht="33" customHeight="1">
      <c r="B99" s="277"/>
      <c r="C99" s="277"/>
      <c r="D99" s="162" t="s">
        <v>79</v>
      </c>
      <c r="E99" s="176">
        <v>12</v>
      </c>
      <c r="F99" s="218"/>
      <c r="G99" s="218"/>
      <c r="H99" s="202">
        <f>'11 seats (Hiace)'!R60</f>
        <v>55697000</v>
      </c>
      <c r="I99" s="202">
        <f t="shared" ref="I99:I102" si="44">H99*$E$99</f>
        <v>668364000</v>
      </c>
      <c r="J99" s="219"/>
      <c r="K99" s="271"/>
      <c r="L99" s="271"/>
      <c r="M99" s="271"/>
    </row>
    <row r="100" spans="2:13" ht="33" customHeight="1">
      <c r="B100" s="277"/>
      <c r="C100" s="277"/>
      <c r="D100" s="162" t="s">
        <v>80</v>
      </c>
      <c r="E100" s="176">
        <v>12</v>
      </c>
      <c r="F100" s="218"/>
      <c r="G100" s="218"/>
      <c r="H100" s="202">
        <f>'11 seats (Hiace)'!R74</f>
        <v>51602000</v>
      </c>
      <c r="I100" s="202">
        <f t="shared" si="44"/>
        <v>619224000</v>
      </c>
      <c r="J100" s="219"/>
      <c r="K100" s="271"/>
      <c r="L100" s="271"/>
      <c r="M100" s="271"/>
    </row>
    <row r="101" spans="2:13" ht="33" customHeight="1">
      <c r="B101" s="277"/>
      <c r="C101" s="277"/>
      <c r="D101" s="162" t="s">
        <v>81</v>
      </c>
      <c r="E101" s="176">
        <v>12</v>
      </c>
      <c r="F101" s="218"/>
      <c r="G101" s="218"/>
      <c r="H101" s="202">
        <f>'11 seats (Transit)'!R96</f>
        <v>48668000</v>
      </c>
      <c r="I101" s="202">
        <f t="shared" si="44"/>
        <v>584016000</v>
      </c>
      <c r="J101" s="219"/>
      <c r="K101" s="271"/>
      <c r="L101" s="271"/>
      <c r="M101" s="271"/>
    </row>
    <row r="102" spans="2:13" ht="33" customHeight="1">
      <c r="B102" s="277"/>
      <c r="C102" s="277"/>
      <c r="D102" s="162" t="s">
        <v>82</v>
      </c>
      <c r="E102" s="176">
        <v>12</v>
      </c>
      <c r="F102" s="218"/>
      <c r="G102" s="218"/>
      <c r="H102" s="202">
        <f>'11 seats (Transit)'!R126</f>
        <v>45531000</v>
      </c>
      <c r="I102" s="202">
        <f t="shared" si="44"/>
        <v>546372000</v>
      </c>
      <c r="J102" s="219"/>
      <c r="K102" s="271"/>
      <c r="L102" s="271"/>
      <c r="M102" s="271"/>
    </row>
    <row r="103" spans="2:13" ht="33" customHeight="1">
      <c r="B103" s="277"/>
      <c r="C103" s="277"/>
      <c r="D103" s="162" t="s">
        <v>83</v>
      </c>
      <c r="E103" s="176" t="s">
        <v>126</v>
      </c>
      <c r="F103" s="218"/>
      <c r="G103" s="218"/>
      <c r="H103" s="202">
        <f>I103/E99</f>
        <v>52182500</v>
      </c>
      <c r="I103" s="202">
        <f>H99*6+H101*6</f>
        <v>626190000</v>
      </c>
      <c r="J103" s="219"/>
      <c r="K103" s="271"/>
      <c r="L103" s="271"/>
      <c r="M103" s="271"/>
    </row>
    <row r="104" spans="2:13" ht="33" customHeight="1">
      <c r="B104" s="277"/>
      <c r="C104" s="277"/>
      <c r="D104" s="162" t="s">
        <v>85</v>
      </c>
      <c r="E104" s="176" t="s">
        <v>126</v>
      </c>
      <c r="F104" s="218"/>
      <c r="G104" s="218"/>
      <c r="H104" s="202">
        <f>I104/E99</f>
        <v>48566500</v>
      </c>
      <c r="I104" s="202">
        <f>H100*6+H102*6</f>
        <v>582798000</v>
      </c>
      <c r="J104" s="219"/>
      <c r="K104" s="271"/>
      <c r="L104" s="271"/>
      <c r="M104" s="271"/>
    </row>
    <row r="105" spans="2:13" ht="33" customHeight="1">
      <c r="B105" s="277"/>
      <c r="C105" s="277"/>
      <c r="D105" s="176" t="s">
        <v>71</v>
      </c>
      <c r="E105" s="176"/>
      <c r="F105" s="202"/>
      <c r="G105" s="202">
        <f t="shared" ref="G105:G110" si="45">$G$97</f>
        <v>956018852</v>
      </c>
      <c r="H105" s="202"/>
      <c r="I105" s="202">
        <f t="shared" ref="I105:I110" si="46">$I$98+I99</f>
        <v>1058291780</v>
      </c>
      <c r="J105" s="212">
        <f t="shared" ref="J105:J112" si="47">+I105-G105</f>
        <v>102272928</v>
      </c>
      <c r="K105" s="271"/>
      <c r="L105" s="271"/>
      <c r="M105" s="271"/>
    </row>
    <row r="106" spans="2:13" ht="33" customHeight="1">
      <c r="B106" s="277"/>
      <c r="C106" s="277"/>
      <c r="D106" s="176" t="s">
        <v>72</v>
      </c>
      <c r="E106" s="176"/>
      <c r="F106" s="202"/>
      <c r="G106" s="202">
        <f t="shared" si="45"/>
        <v>956018852</v>
      </c>
      <c r="H106" s="202"/>
      <c r="I106" s="202">
        <f t="shared" si="46"/>
        <v>1009151780</v>
      </c>
      <c r="J106" s="212">
        <f t="shared" si="47"/>
        <v>53132928</v>
      </c>
      <c r="K106" s="271"/>
      <c r="L106" s="271"/>
      <c r="M106" s="271"/>
    </row>
    <row r="107" spans="2:13" ht="33" customHeight="1">
      <c r="B107" s="277"/>
      <c r="C107" s="277"/>
      <c r="D107" s="176" t="s">
        <v>73</v>
      </c>
      <c r="E107" s="176"/>
      <c r="F107" s="202"/>
      <c r="G107" s="202">
        <f t="shared" si="45"/>
        <v>956018852</v>
      </c>
      <c r="H107" s="202"/>
      <c r="I107" s="202">
        <f t="shared" si="46"/>
        <v>973943780</v>
      </c>
      <c r="J107" s="210">
        <f t="shared" si="47"/>
        <v>17924928</v>
      </c>
      <c r="K107" s="271"/>
      <c r="L107" s="271"/>
      <c r="M107" s="271"/>
    </row>
    <row r="108" spans="2:13" ht="33" customHeight="1">
      <c r="B108" s="277"/>
      <c r="C108" s="277"/>
      <c r="D108" s="176" t="s">
        <v>74</v>
      </c>
      <c r="E108" s="176"/>
      <c r="F108" s="202"/>
      <c r="G108" s="202">
        <f t="shared" si="45"/>
        <v>956018852</v>
      </c>
      <c r="H108" s="202"/>
      <c r="I108" s="202">
        <f t="shared" si="46"/>
        <v>936299780</v>
      </c>
      <c r="J108" s="212">
        <f t="shared" si="47"/>
        <v>-19719072</v>
      </c>
      <c r="K108" s="271"/>
      <c r="L108" s="271"/>
      <c r="M108" s="271"/>
    </row>
    <row r="109" spans="2:13" ht="33" customHeight="1">
      <c r="B109" s="277"/>
      <c r="C109" s="277"/>
      <c r="D109" s="176" t="s">
        <v>75</v>
      </c>
      <c r="E109" s="176"/>
      <c r="F109" s="202"/>
      <c r="G109" s="202">
        <f t="shared" si="45"/>
        <v>956018852</v>
      </c>
      <c r="H109" s="202"/>
      <c r="I109" s="202">
        <f t="shared" si="46"/>
        <v>1016117780</v>
      </c>
      <c r="J109" s="212">
        <f t="shared" si="47"/>
        <v>60098928</v>
      </c>
      <c r="K109" s="271"/>
      <c r="L109" s="271"/>
      <c r="M109" s="271"/>
    </row>
    <row r="110" spans="2:13" ht="33" customHeight="1">
      <c r="B110" s="277"/>
      <c r="C110" s="277"/>
      <c r="D110" s="176" t="s">
        <v>76</v>
      </c>
      <c r="E110" s="176"/>
      <c r="F110" s="202"/>
      <c r="G110" s="202">
        <f t="shared" si="45"/>
        <v>956018852</v>
      </c>
      <c r="H110" s="202"/>
      <c r="I110" s="202">
        <f t="shared" si="46"/>
        <v>972725780</v>
      </c>
      <c r="J110" s="210">
        <f t="shared" si="47"/>
        <v>16706928</v>
      </c>
      <c r="K110" s="271"/>
      <c r="L110" s="271"/>
      <c r="M110" s="271"/>
    </row>
    <row r="111" spans="2:13" ht="32.1" customHeight="1">
      <c r="B111" s="276"/>
      <c r="C111" s="276" t="s">
        <v>86</v>
      </c>
      <c r="D111" s="176" t="s">
        <v>61</v>
      </c>
      <c r="E111" s="131">
        <v>6</v>
      </c>
      <c r="F111" s="202">
        <f>G111/E111</f>
        <v>46126944.666666664</v>
      </c>
      <c r="G111" s="202">
        <f>'11 seats (Hiace)'!K15</f>
        <v>276761668</v>
      </c>
      <c r="H111" s="202">
        <f>I111/E111</f>
        <v>45518034.444444448</v>
      </c>
      <c r="I111" s="202">
        <f>'11 seats (Hiace)'!W30</f>
        <v>273108206.66666669</v>
      </c>
      <c r="J111" s="212">
        <f t="shared" si="47"/>
        <v>-3653461.3333333135</v>
      </c>
      <c r="K111" s="270" t="s">
        <v>28</v>
      </c>
      <c r="L111" s="271"/>
      <c r="M111" s="271"/>
    </row>
    <row r="112" spans="2:13" ht="30" customHeight="1">
      <c r="B112" s="277"/>
      <c r="C112" s="277"/>
      <c r="D112" s="176" t="s">
        <v>63</v>
      </c>
      <c r="E112" s="131">
        <v>2</v>
      </c>
      <c r="F112" s="202">
        <f>G112/E112</f>
        <v>52994303.333333328</v>
      </c>
      <c r="G112" s="202">
        <f>'11 seats (Hiace)'!K45</f>
        <v>105988606.66666666</v>
      </c>
      <c r="H112" s="202">
        <f>I112/E112</f>
        <v>52764303.333333321</v>
      </c>
      <c r="I112" s="202">
        <f>'11 seats (Hiace)'!W45</f>
        <v>105528606.66666664</v>
      </c>
      <c r="J112" s="212">
        <f t="shared" si="47"/>
        <v>-460000.0000000149</v>
      </c>
      <c r="K112" s="271"/>
      <c r="L112" s="271"/>
      <c r="M112" s="271"/>
    </row>
    <row r="113" spans="2:13" ht="33" customHeight="1">
      <c r="B113" s="277"/>
      <c r="C113" s="277"/>
      <c r="D113" s="162" t="s">
        <v>87</v>
      </c>
      <c r="E113" s="176" t="s">
        <v>127</v>
      </c>
      <c r="F113" s="218"/>
      <c r="G113" s="218"/>
      <c r="H113" s="202">
        <f>'11 seats (Hiace)'!U60</f>
        <v>55697000</v>
      </c>
      <c r="I113" s="202">
        <f t="shared" ref="I113:I116" si="48">H113*$E$113</f>
        <v>222788000</v>
      </c>
      <c r="J113" s="219"/>
      <c r="K113" s="271"/>
      <c r="L113" s="271"/>
      <c r="M113" s="271"/>
    </row>
    <row r="114" spans="2:13" ht="33" customHeight="1">
      <c r="B114" s="277"/>
      <c r="C114" s="277"/>
      <c r="D114" s="162" t="s">
        <v>88</v>
      </c>
      <c r="E114" s="176" t="s">
        <v>127</v>
      </c>
      <c r="F114" s="218"/>
      <c r="G114" s="218"/>
      <c r="H114" s="202">
        <f>'11 seats (Hiace)'!U74</f>
        <v>51602000</v>
      </c>
      <c r="I114" s="214">
        <f t="shared" si="48"/>
        <v>206408000</v>
      </c>
      <c r="J114" s="219"/>
      <c r="K114" s="271">
        <f>I114-I116</f>
        <v>24284000</v>
      </c>
      <c r="L114" s="271"/>
      <c r="M114" s="271"/>
    </row>
    <row r="115" spans="2:13" ht="33" customHeight="1">
      <c r="B115" s="277"/>
      <c r="C115" s="277"/>
      <c r="D115" s="162" t="s">
        <v>89</v>
      </c>
      <c r="E115" s="176" t="s">
        <v>127</v>
      </c>
      <c r="F115" s="218"/>
      <c r="G115" s="218"/>
      <c r="H115" s="202">
        <f>'11 seats (Transit)'!U96</f>
        <v>48668000</v>
      </c>
      <c r="I115" s="202">
        <f t="shared" si="48"/>
        <v>194672000</v>
      </c>
      <c r="J115" s="219"/>
      <c r="K115" s="271"/>
      <c r="L115" s="271"/>
      <c r="M115" s="271"/>
    </row>
    <row r="116" spans="2:13" ht="33" customHeight="1">
      <c r="B116" s="277"/>
      <c r="C116" s="277"/>
      <c r="D116" s="162" t="s">
        <v>90</v>
      </c>
      <c r="E116" s="176" t="s">
        <v>127</v>
      </c>
      <c r="F116" s="218"/>
      <c r="G116" s="218"/>
      <c r="H116" s="202">
        <f>'11 seats (Transit)'!U126</f>
        <v>45531000</v>
      </c>
      <c r="I116" s="214">
        <f t="shared" si="48"/>
        <v>182124000</v>
      </c>
      <c r="J116" s="219"/>
      <c r="K116" s="271"/>
      <c r="L116" s="271"/>
      <c r="M116" s="271"/>
    </row>
    <row r="117" spans="2:13" ht="33" customHeight="1">
      <c r="B117" s="277"/>
      <c r="C117" s="277"/>
      <c r="D117" s="162" t="s">
        <v>91</v>
      </c>
      <c r="E117" s="176" t="s">
        <v>128</v>
      </c>
      <c r="F117" s="218"/>
      <c r="G117" s="218"/>
      <c r="H117" s="202">
        <f>I117/E113</f>
        <v>52182500</v>
      </c>
      <c r="I117" s="202">
        <f>H113*2+H115*2</f>
        <v>208730000</v>
      </c>
      <c r="J117" s="219"/>
      <c r="K117" s="271"/>
      <c r="L117" s="271"/>
      <c r="M117" s="271"/>
    </row>
    <row r="118" spans="2:13" ht="33" customHeight="1">
      <c r="B118" s="277"/>
      <c r="C118" s="277"/>
      <c r="D118" s="162" t="s">
        <v>93</v>
      </c>
      <c r="E118" s="176" t="s">
        <v>128</v>
      </c>
      <c r="F118" s="218"/>
      <c r="G118" s="218"/>
      <c r="H118" s="202">
        <f>I118/4</f>
        <v>48566500</v>
      </c>
      <c r="I118" s="202">
        <f>H114*2+H116*2</f>
        <v>194266000</v>
      </c>
      <c r="J118" s="219"/>
      <c r="K118" s="271"/>
      <c r="L118" s="271"/>
      <c r="M118" s="271"/>
    </row>
    <row r="119" spans="2:13" ht="33" customHeight="1">
      <c r="B119" s="277"/>
      <c r="C119" s="277"/>
      <c r="D119" s="176" t="s">
        <v>71</v>
      </c>
      <c r="E119" s="176"/>
      <c r="F119" s="202"/>
      <c r="G119" s="202">
        <f t="shared" ref="G119:G124" si="49">$G$111</f>
        <v>276761668</v>
      </c>
      <c r="H119" s="202"/>
      <c r="I119" s="202">
        <f t="shared" ref="I119:I124" si="50">$I$112+I113</f>
        <v>328316606.66666663</v>
      </c>
      <c r="J119" s="212">
        <f t="shared" ref="J119:J127" si="51">+I119-G119</f>
        <v>51554938.666666627</v>
      </c>
      <c r="K119" s="271"/>
      <c r="L119" s="271"/>
      <c r="M119" s="271"/>
    </row>
    <row r="120" spans="2:13" ht="33" customHeight="1">
      <c r="B120" s="277"/>
      <c r="C120" s="277"/>
      <c r="D120" s="176" t="s">
        <v>72</v>
      </c>
      <c r="E120" s="176"/>
      <c r="F120" s="202"/>
      <c r="G120" s="202">
        <f t="shared" si="49"/>
        <v>276761668</v>
      </c>
      <c r="H120" s="202"/>
      <c r="I120" s="202">
        <f t="shared" si="50"/>
        <v>311936606.66666663</v>
      </c>
      <c r="J120" s="212">
        <f t="shared" si="51"/>
        <v>35174938.666666627</v>
      </c>
      <c r="K120" s="271"/>
      <c r="L120" s="271"/>
      <c r="M120" s="271"/>
    </row>
    <row r="121" spans="2:13" ht="33" customHeight="1">
      <c r="B121" s="277"/>
      <c r="C121" s="277"/>
      <c r="D121" s="176" t="s">
        <v>73</v>
      </c>
      <c r="E121" s="176"/>
      <c r="F121" s="202"/>
      <c r="G121" s="202">
        <f t="shared" si="49"/>
        <v>276761668</v>
      </c>
      <c r="H121" s="202"/>
      <c r="I121" s="202">
        <f t="shared" si="50"/>
        <v>300200606.66666663</v>
      </c>
      <c r="J121" s="210">
        <f t="shared" si="51"/>
        <v>23438938.666666627</v>
      </c>
      <c r="K121" s="271"/>
      <c r="L121" s="271"/>
      <c r="M121" s="271"/>
    </row>
    <row r="122" spans="2:13" ht="33" customHeight="1">
      <c r="B122" s="277"/>
      <c r="C122" s="277"/>
      <c r="D122" s="176" t="s">
        <v>74</v>
      </c>
      <c r="E122" s="176"/>
      <c r="F122" s="202"/>
      <c r="G122" s="202">
        <f t="shared" si="49"/>
        <v>276761668</v>
      </c>
      <c r="H122" s="202"/>
      <c r="I122" s="202">
        <f t="shared" si="50"/>
        <v>287652606.66666663</v>
      </c>
      <c r="J122" s="212">
        <f t="shared" si="51"/>
        <v>10890938.666666627</v>
      </c>
      <c r="K122" s="271"/>
      <c r="L122" s="271"/>
      <c r="M122" s="271"/>
    </row>
    <row r="123" spans="2:13" ht="33" customHeight="1">
      <c r="B123" s="277"/>
      <c r="C123" s="277"/>
      <c r="D123" s="176" t="s">
        <v>75</v>
      </c>
      <c r="E123" s="176"/>
      <c r="F123" s="202"/>
      <c r="G123" s="202">
        <f t="shared" si="49"/>
        <v>276761668</v>
      </c>
      <c r="H123" s="202"/>
      <c r="I123" s="202">
        <f t="shared" si="50"/>
        <v>314258606.66666663</v>
      </c>
      <c r="J123" s="212">
        <f t="shared" si="51"/>
        <v>37496938.666666627</v>
      </c>
      <c r="K123" s="271"/>
      <c r="L123" s="271"/>
      <c r="M123" s="271"/>
    </row>
    <row r="124" spans="2:13" ht="33" customHeight="1">
      <c r="B124" s="277"/>
      <c r="C124" s="277"/>
      <c r="D124" s="176" t="s">
        <v>76</v>
      </c>
      <c r="E124" s="176"/>
      <c r="F124" s="202"/>
      <c r="G124" s="202">
        <f t="shared" si="49"/>
        <v>276761668</v>
      </c>
      <c r="H124" s="202"/>
      <c r="I124" s="202">
        <f t="shared" si="50"/>
        <v>299794606.66666663</v>
      </c>
      <c r="J124" s="210">
        <f t="shared" si="51"/>
        <v>23032938.666666627</v>
      </c>
      <c r="K124" s="271"/>
      <c r="L124" s="271"/>
      <c r="M124" s="271"/>
    </row>
    <row r="125" spans="2:13" ht="33" customHeight="1">
      <c r="B125" s="277"/>
      <c r="C125" s="276" t="s">
        <v>94</v>
      </c>
      <c r="D125" s="176" t="s">
        <v>10</v>
      </c>
      <c r="E125" s="131">
        <v>2</v>
      </c>
      <c r="F125" s="202">
        <f>G125/E125</f>
        <v>42076167</v>
      </c>
      <c r="G125" s="202">
        <f>+'11 seats (Hiace)'!E89</f>
        <v>84152334</v>
      </c>
      <c r="H125" s="202">
        <f>I125/E125</f>
        <v>40670200</v>
      </c>
      <c r="I125" s="202">
        <f>+'11 seats (Hiace)'!E118</f>
        <v>81340400</v>
      </c>
      <c r="J125" s="212">
        <f t="shared" si="51"/>
        <v>-2811934</v>
      </c>
      <c r="K125" s="271"/>
      <c r="L125" s="271"/>
      <c r="M125" s="271"/>
    </row>
    <row r="126" spans="2:13" ht="33" customHeight="1">
      <c r="B126" s="277"/>
      <c r="C126" s="277"/>
      <c r="D126" s="176" t="s">
        <v>15</v>
      </c>
      <c r="E126" s="131">
        <v>1</v>
      </c>
      <c r="F126" s="202">
        <f>'11 seats (Hiace)'!H89</f>
        <v>65468368</v>
      </c>
      <c r="G126" s="202">
        <f>+F126*E126</f>
        <v>65468368</v>
      </c>
      <c r="H126" s="202">
        <f>'11 seats (Hiace)'!H118</f>
        <v>52805600</v>
      </c>
      <c r="I126" s="202">
        <f>+'11 seats (Hiace)'!H133</f>
        <v>50805600</v>
      </c>
      <c r="J126" s="212">
        <f t="shared" si="51"/>
        <v>-14662768</v>
      </c>
      <c r="K126" s="271"/>
      <c r="L126" s="271"/>
      <c r="M126" s="271"/>
    </row>
    <row r="127" spans="2:13" ht="33" customHeight="1">
      <c r="B127" s="277"/>
      <c r="C127" s="278"/>
      <c r="D127" s="176" t="s">
        <v>17</v>
      </c>
      <c r="E127" s="131">
        <v>1</v>
      </c>
      <c r="F127" s="202">
        <f>'11 seats (Hiace)'!K89</f>
        <v>65021968</v>
      </c>
      <c r="G127" s="202">
        <f>+F127*E127</f>
        <v>65021968</v>
      </c>
      <c r="H127" s="202">
        <f>'11 seats (Transit)'!W140</f>
        <v>53724000</v>
      </c>
      <c r="I127" s="202">
        <f>+'11 seats (Hiace)'!K133</f>
        <v>47993000</v>
      </c>
      <c r="J127" s="212">
        <f t="shared" si="51"/>
        <v>-17028968</v>
      </c>
      <c r="K127" s="271"/>
      <c r="L127" s="271"/>
      <c r="M127" s="271"/>
    </row>
    <row r="129" spans="2:13">
      <c r="B129" s="7"/>
      <c r="C129" s="7" t="s">
        <v>10</v>
      </c>
      <c r="D129" s="7"/>
      <c r="E129" s="7"/>
      <c r="F129" s="7"/>
      <c r="G129" s="7"/>
      <c r="H129" s="220">
        <f>I125+I126+I127+I120+I106+I92</f>
        <v>2343604231.1309519</v>
      </c>
      <c r="I129" s="7"/>
      <c r="J129" s="7"/>
      <c r="K129" s="7"/>
      <c r="L129" s="7"/>
      <c r="M129" s="7"/>
    </row>
    <row r="130" spans="2:13">
      <c r="B130" s="7"/>
      <c r="C130" s="7" t="s">
        <v>15</v>
      </c>
      <c r="D130" s="7"/>
      <c r="E130" s="7"/>
      <c r="F130" s="7"/>
      <c r="G130" s="7"/>
      <c r="H130" s="220">
        <f>H129/47</f>
        <v>49863919.81129685</v>
      </c>
      <c r="I130" s="7"/>
      <c r="J130" s="7"/>
      <c r="K130" s="7"/>
      <c r="L130" s="7"/>
      <c r="M130" s="7"/>
    </row>
    <row r="131" spans="2:13">
      <c r="B131" s="7"/>
      <c r="C131" s="7" t="s">
        <v>17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3" spans="2:13" ht="23.1" customHeight="1">
      <c r="B133" s="312" t="s">
        <v>136</v>
      </c>
      <c r="C133" s="313"/>
      <c r="D133" s="201" t="s">
        <v>97</v>
      </c>
      <c r="E133" s="201" t="s">
        <v>98</v>
      </c>
      <c r="F133" s="201" t="s">
        <v>99</v>
      </c>
      <c r="G133" s="201" t="s">
        <v>100</v>
      </c>
      <c r="H133" s="201" t="s">
        <v>101</v>
      </c>
      <c r="I133" s="201" t="s">
        <v>102</v>
      </c>
      <c r="J133" s="201" t="s">
        <v>103</v>
      </c>
      <c r="K133" s="201" t="s">
        <v>117</v>
      </c>
    </row>
    <row r="134" spans="2:13" ht="57.95" customHeight="1">
      <c r="B134" s="313"/>
      <c r="C134" s="313"/>
      <c r="D134" s="221" t="s">
        <v>196</v>
      </c>
      <c r="E134" s="222" t="s">
        <v>130</v>
      </c>
      <c r="F134" s="222" t="s">
        <v>131</v>
      </c>
      <c r="G134" s="222" t="s">
        <v>132</v>
      </c>
      <c r="H134" s="223" t="s">
        <v>133</v>
      </c>
      <c r="I134" s="222" t="s">
        <v>114</v>
      </c>
      <c r="J134" s="221" t="s">
        <v>115</v>
      </c>
      <c r="K134" s="223" t="s">
        <v>197</v>
      </c>
    </row>
    <row r="135" spans="2:13" s="161" customFormat="1" ht="23.1" customHeight="1">
      <c r="B135" s="283" t="s">
        <v>10</v>
      </c>
      <c r="C135" s="224" t="s">
        <v>3</v>
      </c>
      <c r="D135" s="225">
        <f>$G$50+$G$51+$G$59+$G$83+$G$125</f>
        <v>1345458283.4642859</v>
      </c>
      <c r="E135" s="225">
        <f t="shared" ref="E135:K135" si="52">$D$135</f>
        <v>1345458283.4642859</v>
      </c>
      <c r="F135" s="225">
        <f t="shared" si="52"/>
        <v>1345458283.4642859</v>
      </c>
      <c r="G135" s="225">
        <f t="shared" si="52"/>
        <v>1345458283.4642859</v>
      </c>
      <c r="H135" s="225">
        <f t="shared" si="52"/>
        <v>1345458283.4642859</v>
      </c>
      <c r="I135" s="225">
        <f t="shared" si="52"/>
        <v>1345458283.4642859</v>
      </c>
      <c r="J135" s="225">
        <f t="shared" si="52"/>
        <v>1345458283.4642859</v>
      </c>
      <c r="K135" s="231">
        <f t="shared" si="52"/>
        <v>1345458283.4642859</v>
      </c>
    </row>
    <row r="136" spans="2:13" s="161" customFormat="1" ht="23.1" customHeight="1">
      <c r="B136" s="283"/>
      <c r="C136" s="226" t="s">
        <v>42</v>
      </c>
      <c r="D136" s="225">
        <f>$I$50+$I$51+$I$59+$I$83+$I$125</f>
        <v>1354599842.4642859</v>
      </c>
      <c r="E136" s="225">
        <f>$I$50+$I$51+$I$59+I91+$I$125</f>
        <v>1481439042.4642856</v>
      </c>
      <c r="F136" s="225">
        <f>$I$50+$I$51+$I$59+I92+$I$125</f>
        <v>1448679042.4642856</v>
      </c>
      <c r="G136" s="225">
        <f>$I$50+$I$51+$I$59+I93+$I$125</f>
        <v>1425207042.4642856</v>
      </c>
      <c r="H136" s="225">
        <f>$I$50+$I$51+$I$59+I94+$I$125</f>
        <v>1400111042.4642856</v>
      </c>
      <c r="I136" s="225">
        <f>$I$50+$I$51+$I$59+I95+$I$125</f>
        <v>1453323042.4642856</v>
      </c>
      <c r="J136" s="225">
        <f>$I$50+$I$51+$I$59+I96+$I$125</f>
        <v>1424395042.4642856</v>
      </c>
      <c r="K136" s="225">
        <f>$I$50+$I$51+I65+$I$83+$I$125</f>
        <v>1410559164.4642859</v>
      </c>
    </row>
    <row r="137" spans="2:13" s="161" customFormat="1" ht="23.1" customHeight="1">
      <c r="B137" s="283"/>
      <c r="C137" s="227" t="s">
        <v>43</v>
      </c>
      <c r="D137" s="228">
        <f t="shared" ref="D137:K137" si="53">D136-D135</f>
        <v>9141559</v>
      </c>
      <c r="E137" s="228">
        <f t="shared" si="53"/>
        <v>135980758.99999976</v>
      </c>
      <c r="F137" s="228">
        <f t="shared" si="53"/>
        <v>103220758.99999976</v>
      </c>
      <c r="G137" s="228">
        <f t="shared" si="53"/>
        <v>79748758.999999762</v>
      </c>
      <c r="H137" s="228">
        <f t="shared" si="53"/>
        <v>54652758.999999762</v>
      </c>
      <c r="I137" s="228">
        <f t="shared" si="53"/>
        <v>107864758.99999976</v>
      </c>
      <c r="J137" s="228">
        <f t="shared" si="53"/>
        <v>78936758.999999762</v>
      </c>
      <c r="K137" s="232">
        <f t="shared" si="53"/>
        <v>65100881</v>
      </c>
    </row>
    <row r="138" spans="2:13" s="205" customFormat="1" ht="35.1" customHeight="1">
      <c r="B138" s="284"/>
      <c r="C138" s="132" t="s">
        <v>8</v>
      </c>
      <c r="D138" s="131" t="s">
        <v>137</v>
      </c>
      <c r="E138" s="306" t="s">
        <v>138</v>
      </c>
      <c r="F138" s="307"/>
      <c r="G138" s="306" t="s">
        <v>139</v>
      </c>
      <c r="H138" s="307"/>
      <c r="I138" s="308" t="s">
        <v>140</v>
      </c>
      <c r="J138" s="309"/>
      <c r="K138" s="233" t="s">
        <v>141</v>
      </c>
    </row>
    <row r="139" spans="2:13" s="161" customFormat="1" ht="23.1" customHeight="1">
      <c r="B139" s="282" t="s">
        <v>15</v>
      </c>
      <c r="C139" s="226" t="s">
        <v>3</v>
      </c>
      <c r="D139" s="225">
        <f>$G$56+$G$60+$G$63+$G$97+$G$126</f>
        <v>1335895977</v>
      </c>
      <c r="E139" s="225">
        <f t="shared" ref="E139:K139" si="54">$D$139</f>
        <v>1335895977</v>
      </c>
      <c r="F139" s="225">
        <f t="shared" si="54"/>
        <v>1335895977</v>
      </c>
      <c r="G139" s="225">
        <f t="shared" si="54"/>
        <v>1335895977</v>
      </c>
      <c r="H139" s="225">
        <f t="shared" si="54"/>
        <v>1335895977</v>
      </c>
      <c r="I139" s="225">
        <f t="shared" si="54"/>
        <v>1335895977</v>
      </c>
      <c r="J139" s="225">
        <f t="shared" si="54"/>
        <v>1335895977</v>
      </c>
      <c r="K139" s="231">
        <f t="shared" si="54"/>
        <v>1335895977</v>
      </c>
    </row>
    <row r="140" spans="2:13" s="161" customFormat="1" ht="23.1" customHeight="1">
      <c r="B140" s="283"/>
      <c r="C140" s="226" t="s">
        <v>42</v>
      </c>
      <c r="D140" s="225">
        <f>$I$52+$I$60+$I$63+I97+$I$126</f>
        <v>1272644723.7777777</v>
      </c>
      <c r="E140" s="225">
        <f>$I$52+$I$60+$I$63+I105+$I$126</f>
        <v>1440149923.7777777</v>
      </c>
      <c r="F140" s="225">
        <f>$I$52+$I$60+$I$63+I106+$I$126</f>
        <v>1391009923.7777777</v>
      </c>
      <c r="G140" s="225">
        <f>$I$52+$I$60+$I$63+I107+$I$126</f>
        <v>1355801923.7777777</v>
      </c>
      <c r="H140" s="225">
        <f>$I$52+$I$60+$I$63+I108+$I$126</f>
        <v>1318157923.7777777</v>
      </c>
      <c r="I140" s="225">
        <f>$I$52+$I$60+$I$63+I109+$I$126</f>
        <v>1397975923.7777777</v>
      </c>
      <c r="J140" s="225">
        <f>$I$52+$I$60+$I$63+I110+$I$126</f>
        <v>1354583923.7777777</v>
      </c>
      <c r="K140" s="225">
        <f>$I$52+I66+I69+I97+$I$126</f>
        <v>1310839740</v>
      </c>
    </row>
    <row r="141" spans="2:13" s="161" customFormat="1" ht="23.1" customHeight="1">
      <c r="B141" s="283"/>
      <c r="C141" s="227" t="s">
        <v>43</v>
      </c>
      <c r="D141" s="228">
        <f t="shared" ref="D141:K141" si="55">D140-D139</f>
        <v>-63251253.222222328</v>
      </c>
      <c r="E141" s="228">
        <f t="shared" si="55"/>
        <v>104253946.77777767</v>
      </c>
      <c r="F141" s="228">
        <f t="shared" si="55"/>
        <v>55113946.777777672</v>
      </c>
      <c r="G141" s="228">
        <f t="shared" si="55"/>
        <v>19905946.777777672</v>
      </c>
      <c r="H141" s="228">
        <f t="shared" si="55"/>
        <v>-17738053.222222328</v>
      </c>
      <c r="I141" s="228">
        <f t="shared" si="55"/>
        <v>62079946.777777672</v>
      </c>
      <c r="J141" s="228">
        <f t="shared" si="55"/>
        <v>18687946.777777672</v>
      </c>
      <c r="K141" s="232">
        <f t="shared" si="55"/>
        <v>-25056237</v>
      </c>
    </row>
    <row r="142" spans="2:13" s="161" customFormat="1" ht="39" customHeight="1">
      <c r="B142" s="284"/>
      <c r="C142" s="226" t="s">
        <v>8</v>
      </c>
      <c r="D142" s="131" t="s">
        <v>113</v>
      </c>
      <c r="E142" s="306" t="s">
        <v>142</v>
      </c>
      <c r="F142" s="307"/>
      <c r="G142" s="306" t="s">
        <v>143</v>
      </c>
      <c r="H142" s="307"/>
      <c r="I142" s="310" t="s">
        <v>144</v>
      </c>
      <c r="J142" s="311"/>
      <c r="K142" s="190" t="s">
        <v>145</v>
      </c>
    </row>
    <row r="143" spans="2:13" s="161" customFormat="1" ht="23.1" customHeight="1">
      <c r="B143" s="282" t="s">
        <v>17</v>
      </c>
      <c r="C143" s="226" t="s">
        <v>3</v>
      </c>
      <c r="D143" s="225">
        <f>$G$53+$G$61+$G$62+$G$111+$G$127</f>
        <v>651761479</v>
      </c>
      <c r="E143" s="225">
        <f t="shared" ref="E143:K143" si="56">$D$143</f>
        <v>651761479</v>
      </c>
      <c r="F143" s="225">
        <f t="shared" si="56"/>
        <v>651761479</v>
      </c>
      <c r="G143" s="225">
        <f t="shared" si="56"/>
        <v>651761479</v>
      </c>
      <c r="H143" s="225">
        <f t="shared" si="56"/>
        <v>651761479</v>
      </c>
      <c r="I143" s="225">
        <f t="shared" si="56"/>
        <v>651761479</v>
      </c>
      <c r="J143" s="225">
        <f t="shared" si="56"/>
        <v>651761479</v>
      </c>
      <c r="K143" s="231">
        <f t="shared" si="56"/>
        <v>651761479</v>
      </c>
    </row>
    <row r="144" spans="2:13" s="161" customFormat="1" ht="23.1" customHeight="1">
      <c r="B144" s="283"/>
      <c r="C144" s="226" t="s">
        <v>42</v>
      </c>
      <c r="D144" s="225">
        <f>$I$53+$I$61+$I$62+I111+$I$127</f>
        <v>641669910.66666675</v>
      </c>
      <c r="E144" s="225">
        <f>$I$53+$I$61+$I$62+I119+$I$127</f>
        <v>696878310.66666663</v>
      </c>
      <c r="F144" s="225">
        <f>$I$53+$I$61+$I$62+I120+$I$127</f>
        <v>680498310.66666663</v>
      </c>
      <c r="G144" s="225">
        <f>$I$53+$I$61+$I$62+I121+$I$127</f>
        <v>668762310.66666663</v>
      </c>
      <c r="H144" s="225">
        <f>$I$53+$I$61+$I$62+I122+$I$127</f>
        <v>656214310.66666663</v>
      </c>
      <c r="I144" s="225">
        <f>$I$53+$I$61+$I$62+I123+$I$127</f>
        <v>682820310.66666663</v>
      </c>
      <c r="J144" s="225">
        <f>$I$53+$I$61+$I$62+I124+$I$127</f>
        <v>668356310.66666663</v>
      </c>
      <c r="K144" s="225">
        <f>$I$53+I67+I68+I111+$I$127</f>
        <v>676912380</v>
      </c>
    </row>
    <row r="145" spans="2:11" s="161" customFormat="1" ht="23.1" customHeight="1">
      <c r="B145" s="283"/>
      <c r="C145" s="227" t="s">
        <v>43</v>
      </c>
      <c r="D145" s="228">
        <f t="shared" ref="D145:K145" si="57">D144-D143</f>
        <v>-10091568.333333254</v>
      </c>
      <c r="E145" s="228">
        <f t="shared" si="57"/>
        <v>45116831.666666627</v>
      </c>
      <c r="F145" s="228">
        <f t="shared" si="57"/>
        <v>28736831.666666627</v>
      </c>
      <c r="G145" s="228">
        <f t="shared" si="57"/>
        <v>17000831.666666627</v>
      </c>
      <c r="H145" s="228">
        <f t="shared" si="57"/>
        <v>4452831.6666666269</v>
      </c>
      <c r="I145" s="228">
        <f t="shared" si="57"/>
        <v>31058831.666666627</v>
      </c>
      <c r="J145" s="228">
        <f t="shared" si="57"/>
        <v>16594831.666666627</v>
      </c>
      <c r="K145" s="232">
        <f t="shared" si="57"/>
        <v>25150901</v>
      </c>
    </row>
    <row r="146" spans="2:11" s="161" customFormat="1" ht="38.1" customHeight="1">
      <c r="B146" s="284"/>
      <c r="C146" s="226" t="s">
        <v>8</v>
      </c>
      <c r="D146" s="131" t="s">
        <v>113</v>
      </c>
      <c r="E146" s="310" t="s">
        <v>146</v>
      </c>
      <c r="F146" s="311"/>
      <c r="G146" s="310" t="s">
        <v>147</v>
      </c>
      <c r="H146" s="311"/>
      <c r="I146" s="310" t="s">
        <v>148</v>
      </c>
      <c r="J146" s="311"/>
      <c r="K146" s="190" t="s">
        <v>149</v>
      </c>
    </row>
    <row r="147" spans="2:11" s="161" customFormat="1" ht="23.1" customHeight="1">
      <c r="B147" s="282" t="s">
        <v>111</v>
      </c>
      <c r="C147" s="226" t="s">
        <v>3</v>
      </c>
      <c r="D147" s="225">
        <f>$D$135+$D$139+$D$143</f>
        <v>3333115739.4642859</v>
      </c>
      <c r="E147" s="225">
        <f t="shared" ref="E147:K148" si="58">E135+E139+E143</f>
        <v>3333115739.4642859</v>
      </c>
      <c r="F147" s="225">
        <f t="shared" si="58"/>
        <v>3333115739.4642859</v>
      </c>
      <c r="G147" s="225">
        <f t="shared" si="58"/>
        <v>3333115739.4642859</v>
      </c>
      <c r="H147" s="225">
        <f t="shared" si="58"/>
        <v>3333115739.4642859</v>
      </c>
      <c r="I147" s="225">
        <f t="shared" si="58"/>
        <v>3333115739.4642859</v>
      </c>
      <c r="J147" s="225">
        <f t="shared" si="58"/>
        <v>3333115739.4642859</v>
      </c>
      <c r="K147" s="231">
        <f t="shared" si="58"/>
        <v>3333115739.4642859</v>
      </c>
    </row>
    <row r="148" spans="2:11" s="161" customFormat="1" ht="23.1" customHeight="1">
      <c r="B148" s="283"/>
      <c r="C148" s="226" t="s">
        <v>42</v>
      </c>
      <c r="D148" s="225">
        <f>$D$136+$D$140+$D$144</f>
        <v>3268914476.9087305</v>
      </c>
      <c r="E148" s="225">
        <f t="shared" si="58"/>
        <v>3618467276.90873</v>
      </c>
      <c r="F148" s="225">
        <f t="shared" si="58"/>
        <v>3520187276.90873</v>
      </c>
      <c r="G148" s="225">
        <f t="shared" si="58"/>
        <v>3449771276.90873</v>
      </c>
      <c r="H148" s="225">
        <f t="shared" si="58"/>
        <v>3374483276.90873</v>
      </c>
      <c r="I148" s="225">
        <f t="shared" si="58"/>
        <v>3534119276.90873</v>
      </c>
      <c r="J148" s="225">
        <f t="shared" si="58"/>
        <v>3447335276.90873</v>
      </c>
      <c r="K148" s="231">
        <f t="shared" si="58"/>
        <v>3398311284.4642859</v>
      </c>
    </row>
    <row r="149" spans="2:11" s="161" customFormat="1" ht="23.1" customHeight="1">
      <c r="B149" s="283"/>
      <c r="C149" s="227" t="s">
        <v>43</v>
      </c>
      <c r="D149" s="228">
        <f t="shared" ref="D149:K149" si="59">D148-D147</f>
        <v>-64201262.555555344</v>
      </c>
      <c r="E149" s="228">
        <f t="shared" si="59"/>
        <v>285351537.44444418</v>
      </c>
      <c r="F149" s="228">
        <f t="shared" si="59"/>
        <v>187071537.44444418</v>
      </c>
      <c r="G149" s="228">
        <f t="shared" si="59"/>
        <v>116655537.44444418</v>
      </c>
      <c r="H149" s="228">
        <f t="shared" si="59"/>
        <v>41367537.44444418</v>
      </c>
      <c r="I149" s="228">
        <f t="shared" si="59"/>
        <v>201003537.44444418</v>
      </c>
      <c r="J149" s="228">
        <f t="shared" si="59"/>
        <v>114219537.44444418</v>
      </c>
      <c r="K149" s="232">
        <f t="shared" si="59"/>
        <v>65195545</v>
      </c>
    </row>
    <row r="150" spans="2:11" s="161" customFormat="1" ht="23.1" customHeight="1">
      <c r="B150" s="284"/>
      <c r="C150" s="226" t="s">
        <v>8</v>
      </c>
      <c r="D150" s="131"/>
      <c r="E150" s="226"/>
      <c r="F150" s="226"/>
      <c r="G150" s="226"/>
      <c r="H150" s="226"/>
      <c r="I150" s="226"/>
      <c r="J150" s="226"/>
      <c r="K150" s="234"/>
    </row>
    <row r="151" spans="2:11">
      <c r="K151" s="195"/>
    </row>
    <row r="152" spans="2:11">
      <c r="D152" s="127">
        <f>D149/23000</f>
        <v>-2791.3592415458843</v>
      </c>
      <c r="E152" s="21">
        <f t="shared" ref="E152:K152" si="60">E149/23000</f>
        <v>12406.588584541052</v>
      </c>
      <c r="F152" s="127">
        <f t="shared" si="60"/>
        <v>8133.5451062801822</v>
      </c>
      <c r="G152" s="21">
        <f t="shared" si="60"/>
        <v>5071.9798888888772</v>
      </c>
      <c r="H152" s="21">
        <f t="shared" si="60"/>
        <v>1798.5885845410512</v>
      </c>
      <c r="I152" s="21">
        <f t="shared" si="60"/>
        <v>8739.2842367149642</v>
      </c>
      <c r="J152" s="21">
        <f t="shared" si="60"/>
        <v>4966.0668454106162</v>
      </c>
      <c r="K152" s="235">
        <f t="shared" si="60"/>
        <v>2834.5889130434784</v>
      </c>
    </row>
    <row r="153" spans="2:11">
      <c r="D153" s="21"/>
      <c r="K153" s="195"/>
    </row>
    <row r="154" spans="2:11">
      <c r="K154" s="195"/>
    </row>
    <row r="155" spans="2:11" ht="23.1" customHeight="1">
      <c r="B155" s="314" t="s">
        <v>150</v>
      </c>
      <c r="C155" s="314"/>
      <c r="D155" s="201" t="s">
        <v>97</v>
      </c>
      <c r="E155" s="201" t="s">
        <v>98</v>
      </c>
      <c r="F155" s="201" t="s">
        <v>99</v>
      </c>
      <c r="G155" s="201" t="s">
        <v>100</v>
      </c>
      <c r="H155" s="201" t="s">
        <v>101</v>
      </c>
      <c r="I155" s="201" t="s">
        <v>102</v>
      </c>
      <c r="J155" s="201" t="s">
        <v>103</v>
      </c>
      <c r="K155" s="201" t="s">
        <v>117</v>
      </c>
    </row>
    <row r="156" spans="2:11" ht="65.25" customHeight="1">
      <c r="B156" s="314"/>
      <c r="C156" s="314"/>
      <c r="D156" s="229" t="s">
        <v>113</v>
      </c>
      <c r="E156" s="222" t="s">
        <v>130</v>
      </c>
      <c r="F156" s="222" t="s">
        <v>131</v>
      </c>
      <c r="G156" s="222" t="s">
        <v>132</v>
      </c>
      <c r="H156" s="223" t="s">
        <v>133</v>
      </c>
      <c r="I156" s="222" t="s">
        <v>114</v>
      </c>
      <c r="J156" s="223" t="s">
        <v>115</v>
      </c>
      <c r="K156" s="222" t="s">
        <v>116</v>
      </c>
    </row>
    <row r="157" spans="2:11" s="161" customFormat="1" ht="23.1" customHeight="1">
      <c r="B157" s="282" t="s">
        <v>10</v>
      </c>
      <c r="C157" s="226" t="s">
        <v>3</v>
      </c>
      <c r="D157" s="225">
        <f>$G$50+$G$51+$G$59+$G$83+$G$125</f>
        <v>1345458283.4642859</v>
      </c>
      <c r="E157" s="225">
        <f t="shared" ref="E157:K157" si="61">$D$135</f>
        <v>1345458283.4642859</v>
      </c>
      <c r="F157" s="225">
        <f t="shared" si="61"/>
        <v>1345458283.4642859</v>
      </c>
      <c r="G157" s="225">
        <f t="shared" si="61"/>
        <v>1345458283.4642859</v>
      </c>
      <c r="H157" s="225">
        <f t="shared" si="61"/>
        <v>1345458283.4642859</v>
      </c>
      <c r="I157" s="225">
        <f t="shared" si="61"/>
        <v>1345458283.4642859</v>
      </c>
      <c r="J157" s="225">
        <f t="shared" si="61"/>
        <v>1345458283.4642859</v>
      </c>
      <c r="K157" s="231">
        <f t="shared" si="61"/>
        <v>1345458283.4642859</v>
      </c>
    </row>
    <row r="158" spans="2:11" s="161" customFormat="1" ht="23.1" customHeight="1">
      <c r="B158" s="283"/>
      <c r="C158" s="226" t="s">
        <v>42</v>
      </c>
      <c r="D158" s="225">
        <f>$I$50+$I$51+I77+$I$83+$I$125</f>
        <v>1340870078.4642859</v>
      </c>
      <c r="E158" s="225">
        <f>$I$50+$I$51+$I$77+I91+$I$125</f>
        <v>1467709278.4642856</v>
      </c>
      <c r="F158" s="225">
        <f>$I$50+$I$51+$I$77+I92+$I$125</f>
        <v>1434949278.4642856</v>
      </c>
      <c r="G158" s="225">
        <f>$I$50+$I$51+$I$77+I93+$I$125</f>
        <v>1411477278.4642856</v>
      </c>
      <c r="H158" s="225">
        <f>$I$50+$I$51+$I$77+I94+$I$125</f>
        <v>1386381278.4642856</v>
      </c>
      <c r="I158" s="225">
        <f>$I$50+$I$51+$I$77+I95+$I$125</f>
        <v>1439593278.4642856</v>
      </c>
      <c r="J158" s="225">
        <f>$I$50+$I$51+$I$77+I96+$I$125</f>
        <v>1410665278.4642856</v>
      </c>
      <c r="K158" s="231">
        <f>D158</f>
        <v>1340870078.4642859</v>
      </c>
    </row>
    <row r="159" spans="2:11" s="161" customFormat="1" ht="23.1" customHeight="1">
      <c r="B159" s="283"/>
      <c r="C159" s="226" t="s">
        <v>43</v>
      </c>
      <c r="D159" s="225">
        <f t="shared" ref="D159:K159" si="62">D158-D157</f>
        <v>-4588205</v>
      </c>
      <c r="E159" s="225">
        <f t="shared" si="62"/>
        <v>122250994.99999976</v>
      </c>
      <c r="F159" s="225">
        <f t="shared" si="62"/>
        <v>89490994.999999762</v>
      </c>
      <c r="G159" s="225">
        <f t="shared" si="62"/>
        <v>66018994.999999762</v>
      </c>
      <c r="H159" s="225">
        <f t="shared" si="62"/>
        <v>40922994.999999762</v>
      </c>
      <c r="I159" s="225">
        <f t="shared" si="62"/>
        <v>94134994.999999762</v>
      </c>
      <c r="J159" s="225">
        <f t="shared" si="62"/>
        <v>65206994.999999762</v>
      </c>
      <c r="K159" s="231">
        <f t="shared" si="62"/>
        <v>-4588205</v>
      </c>
    </row>
    <row r="160" spans="2:11" s="161" customFormat="1" ht="23.1" customHeight="1">
      <c r="B160" s="284"/>
      <c r="C160" s="226" t="s">
        <v>8</v>
      </c>
      <c r="D160" s="226"/>
      <c r="E160" s="226"/>
      <c r="F160" s="226"/>
      <c r="G160" s="226"/>
      <c r="H160" s="226"/>
      <c r="I160" s="226"/>
      <c r="J160" s="226"/>
      <c r="K160" s="234"/>
    </row>
    <row r="161" spans="2:11" s="161" customFormat="1" ht="23.1" customHeight="1">
      <c r="B161" s="282" t="s">
        <v>15</v>
      </c>
      <c r="C161" s="226" t="s">
        <v>3</v>
      </c>
      <c r="D161" s="225">
        <f>$G$56+$G$60+$G$63+$G$97+$G$126</f>
        <v>1335895977</v>
      </c>
      <c r="E161" s="225">
        <f t="shared" ref="E161:K161" si="63">$D$139</f>
        <v>1335895977</v>
      </c>
      <c r="F161" s="225">
        <f t="shared" si="63"/>
        <v>1335895977</v>
      </c>
      <c r="G161" s="225">
        <f t="shared" si="63"/>
        <v>1335895977</v>
      </c>
      <c r="H161" s="225">
        <f t="shared" si="63"/>
        <v>1335895977</v>
      </c>
      <c r="I161" s="225">
        <f t="shared" si="63"/>
        <v>1335895977</v>
      </c>
      <c r="J161" s="225">
        <f t="shared" si="63"/>
        <v>1335895977</v>
      </c>
      <c r="K161" s="231">
        <f t="shared" si="63"/>
        <v>1335895977</v>
      </c>
    </row>
    <row r="162" spans="2:11" s="161" customFormat="1" ht="23.1" customHeight="1">
      <c r="B162" s="283"/>
      <c r="C162" s="226" t="s">
        <v>42</v>
      </c>
      <c r="D162" s="225">
        <f>$I$52+$I$78+$I$81+I97+$I$126</f>
        <v>1262568531.9682541</v>
      </c>
      <c r="E162" s="225">
        <f>$I$52+$I$78+$I$81+I105+$I$126</f>
        <v>1430073731.9682541</v>
      </c>
      <c r="F162" s="225">
        <f>$I$52+$I$78+$I$81+I106+$I$126</f>
        <v>1380933731.9682541</v>
      </c>
      <c r="G162" s="225">
        <f>$I$52+$I$78+$I$81+I107+$I$126</f>
        <v>1345725731.9682541</v>
      </c>
      <c r="H162" s="225">
        <f>$I$52+$I$78+$I$81+I108+$I$126</f>
        <v>1308081731.9682541</v>
      </c>
      <c r="I162" s="225">
        <f>$I$52+$I$78+$I$81+I109+$I$126</f>
        <v>1387899731.9682541</v>
      </c>
      <c r="J162" s="225">
        <f>$I$52+$I$78+$I$81+I110+$I$126</f>
        <v>1344507731.9682541</v>
      </c>
      <c r="K162" s="231">
        <v>1304937211.96825</v>
      </c>
    </row>
    <row r="163" spans="2:11" s="161" customFormat="1" ht="23.1" customHeight="1">
      <c r="B163" s="283"/>
      <c r="C163" s="226" t="s">
        <v>43</v>
      </c>
      <c r="D163" s="225">
        <f t="shared" ref="D163:K163" si="64">D162-D161</f>
        <v>-73327445.031745911</v>
      </c>
      <c r="E163" s="225">
        <f t="shared" si="64"/>
        <v>94177754.968254089</v>
      </c>
      <c r="F163" s="225">
        <f t="shared" si="64"/>
        <v>45037754.968254089</v>
      </c>
      <c r="G163" s="225">
        <f t="shared" si="64"/>
        <v>9829754.9682540894</v>
      </c>
      <c r="H163" s="225">
        <f t="shared" si="64"/>
        <v>-27814245.031745911</v>
      </c>
      <c r="I163" s="225">
        <f t="shared" si="64"/>
        <v>52003754.968254089</v>
      </c>
      <c r="J163" s="225">
        <f t="shared" si="64"/>
        <v>8611754.9682540894</v>
      </c>
      <c r="K163" s="231">
        <f t="shared" si="64"/>
        <v>-30958765.031749964</v>
      </c>
    </row>
    <row r="164" spans="2:11" s="161" customFormat="1" ht="23.1" customHeight="1">
      <c r="B164" s="284"/>
      <c r="C164" s="226" t="s">
        <v>8</v>
      </c>
      <c r="D164" s="226"/>
      <c r="E164" s="226"/>
      <c r="F164" s="226"/>
      <c r="G164" s="226"/>
      <c r="H164" s="226"/>
      <c r="I164" s="226"/>
      <c r="J164" s="226"/>
      <c r="K164" s="234"/>
    </row>
    <row r="165" spans="2:11" s="161" customFormat="1" ht="23.1" customHeight="1">
      <c r="B165" s="282" t="s">
        <v>17</v>
      </c>
      <c r="C165" s="226" t="s">
        <v>3</v>
      </c>
      <c r="D165" s="225">
        <f>$G$53+$G$61+$G$62+$G$111+$G$127</f>
        <v>651761479</v>
      </c>
      <c r="E165" s="225">
        <f t="shared" ref="E165:K165" si="65">$D$143</f>
        <v>651761479</v>
      </c>
      <c r="F165" s="225">
        <f t="shared" si="65"/>
        <v>651761479</v>
      </c>
      <c r="G165" s="225">
        <f t="shared" si="65"/>
        <v>651761479</v>
      </c>
      <c r="H165" s="225">
        <f t="shared" si="65"/>
        <v>651761479</v>
      </c>
      <c r="I165" s="225">
        <f t="shared" si="65"/>
        <v>651761479</v>
      </c>
      <c r="J165" s="225">
        <f t="shared" si="65"/>
        <v>651761479</v>
      </c>
      <c r="K165" s="231">
        <f t="shared" si="65"/>
        <v>651761479</v>
      </c>
    </row>
    <row r="166" spans="2:11" s="161" customFormat="1" ht="23.1" customHeight="1">
      <c r="B166" s="283"/>
      <c r="C166" s="226" t="s">
        <v>42</v>
      </c>
      <c r="D166" s="225">
        <f>$I$53+$I$79+$I$80+I111+$I$127</f>
        <v>631668718.66666675</v>
      </c>
      <c r="E166" s="225">
        <f>$I$53+$I$79+$I$80+I119+$I$127</f>
        <v>686877118.66666663</v>
      </c>
      <c r="F166" s="225">
        <f>$I$53+$I$79+$I$80+I120+$I$127</f>
        <v>670497118.66666663</v>
      </c>
      <c r="G166" s="225">
        <f>$I$53+$I$79+$I$80+I121+$I$127</f>
        <v>658761118.66666663</v>
      </c>
      <c r="H166" s="225">
        <f>$I$53+$I$79+$I$80+I122+$I$127</f>
        <v>646213118.66666663</v>
      </c>
      <c r="I166" s="225">
        <f>$I$53+$I$79+$I$80+I123+$I$127</f>
        <v>672819118.66666663</v>
      </c>
      <c r="J166" s="225">
        <f>$I$53+$I$79+$I$80+I124+$I$127</f>
        <v>658355118.66666663</v>
      </c>
      <c r="K166" s="231">
        <v>659677598.66666698</v>
      </c>
    </row>
    <row r="167" spans="2:11" s="161" customFormat="1" ht="23.1" customHeight="1">
      <c r="B167" s="283"/>
      <c r="C167" s="226" t="s">
        <v>43</v>
      </c>
      <c r="D167" s="225">
        <f t="shared" ref="D167:K167" si="66">D166-D165</f>
        <v>-20092760.333333254</v>
      </c>
      <c r="E167" s="225">
        <f t="shared" si="66"/>
        <v>35115639.666666627</v>
      </c>
      <c r="F167" s="225">
        <f t="shared" si="66"/>
        <v>18735639.666666627</v>
      </c>
      <c r="G167" s="225">
        <f t="shared" si="66"/>
        <v>6999639.6666666269</v>
      </c>
      <c r="H167" s="225">
        <f t="shared" si="66"/>
        <v>-5548360.3333333731</v>
      </c>
      <c r="I167" s="225">
        <f t="shared" si="66"/>
        <v>21057639.666666627</v>
      </c>
      <c r="J167" s="225">
        <f t="shared" si="66"/>
        <v>6593639.6666666269</v>
      </c>
      <c r="K167" s="231">
        <f t="shared" si="66"/>
        <v>7916119.6666669846</v>
      </c>
    </row>
    <row r="168" spans="2:11" s="161" customFormat="1" ht="23.1" customHeight="1">
      <c r="B168" s="284"/>
      <c r="C168" s="226" t="s">
        <v>8</v>
      </c>
      <c r="D168" s="226"/>
      <c r="E168" s="226"/>
      <c r="F168" s="226"/>
      <c r="G168" s="226"/>
      <c r="H168" s="226"/>
      <c r="I168" s="226"/>
      <c r="J168" s="226"/>
      <c r="K168" s="234"/>
    </row>
    <row r="169" spans="2:11" s="161" customFormat="1" ht="23.1" customHeight="1">
      <c r="B169" s="282" t="s">
        <v>111</v>
      </c>
      <c r="C169" s="226" t="s">
        <v>3</v>
      </c>
      <c r="D169" s="225">
        <f>$D$135+$D$139+$D$143</f>
        <v>3333115739.4642859</v>
      </c>
      <c r="E169" s="225">
        <f t="shared" ref="E169:K169" si="67">E157+E161+E165</f>
        <v>3333115739.4642859</v>
      </c>
      <c r="F169" s="225">
        <f t="shared" si="67"/>
        <v>3333115739.4642859</v>
      </c>
      <c r="G169" s="225">
        <f t="shared" si="67"/>
        <v>3333115739.4642859</v>
      </c>
      <c r="H169" s="225">
        <f t="shared" si="67"/>
        <v>3333115739.4642859</v>
      </c>
      <c r="I169" s="225">
        <f t="shared" si="67"/>
        <v>3333115739.4642859</v>
      </c>
      <c r="J169" s="225">
        <f t="shared" si="67"/>
        <v>3333115739.4642859</v>
      </c>
      <c r="K169" s="231">
        <f t="shared" si="67"/>
        <v>3333115739.4642859</v>
      </c>
    </row>
    <row r="170" spans="2:11" s="161" customFormat="1" ht="23.1" customHeight="1">
      <c r="B170" s="283"/>
      <c r="C170" s="226" t="s">
        <v>42</v>
      </c>
      <c r="D170" s="225">
        <f t="shared" ref="D170:K170" si="68">D158+D162+D166</f>
        <v>3235107329.0992069</v>
      </c>
      <c r="E170" s="225">
        <f t="shared" si="68"/>
        <v>3584660129.0992064</v>
      </c>
      <c r="F170" s="225">
        <f t="shared" si="68"/>
        <v>3486380129.0992064</v>
      </c>
      <c r="G170" s="225">
        <f t="shared" si="68"/>
        <v>3415964129.0992064</v>
      </c>
      <c r="H170" s="225">
        <f t="shared" si="68"/>
        <v>3340676129.0992064</v>
      </c>
      <c r="I170" s="225">
        <f t="shared" si="68"/>
        <v>3500312129.0992064</v>
      </c>
      <c r="J170" s="225">
        <f t="shared" si="68"/>
        <v>3413528129.0992064</v>
      </c>
      <c r="K170" s="231">
        <f t="shared" si="68"/>
        <v>3305484889.0992031</v>
      </c>
    </row>
    <row r="171" spans="2:11" s="161" customFormat="1" ht="23.1" customHeight="1">
      <c r="B171" s="283"/>
      <c r="C171" s="226" t="s">
        <v>43</v>
      </c>
      <c r="D171" s="225">
        <f t="shared" ref="D171:K171" si="69">D170-D169</f>
        <v>-98008410.365078926</v>
      </c>
      <c r="E171" s="225">
        <f t="shared" si="69"/>
        <v>251544389.6349206</v>
      </c>
      <c r="F171" s="225">
        <f t="shared" si="69"/>
        <v>153264389.6349206</v>
      </c>
      <c r="G171" s="225">
        <f t="shared" si="69"/>
        <v>82848389.634920597</v>
      </c>
      <c r="H171" s="225">
        <f t="shared" si="69"/>
        <v>7560389.6349205971</v>
      </c>
      <c r="I171" s="225">
        <f t="shared" si="69"/>
        <v>167196389.6349206</v>
      </c>
      <c r="J171" s="225">
        <f t="shared" si="69"/>
        <v>80412389.634920597</v>
      </c>
      <c r="K171" s="231">
        <f t="shared" si="69"/>
        <v>-27630850.365082741</v>
      </c>
    </row>
    <row r="172" spans="2:11" s="161" customFormat="1" ht="23.1" customHeight="1">
      <c r="B172" s="284"/>
      <c r="C172" s="226" t="s">
        <v>8</v>
      </c>
      <c r="D172" s="226"/>
      <c r="E172" s="226"/>
      <c r="F172" s="226"/>
      <c r="G172" s="226"/>
      <c r="H172" s="226"/>
      <c r="I172" s="226"/>
      <c r="J172" s="226"/>
      <c r="K172" s="234"/>
    </row>
    <row r="174" spans="2:11">
      <c r="D174" s="21">
        <f t="shared" ref="D174:K174" si="70">D171/23000</f>
        <v>-4261.2352332643013</v>
      </c>
      <c r="E174" s="21">
        <f t="shared" si="70"/>
        <v>10936.712592822634</v>
      </c>
      <c r="F174" s="21">
        <f t="shared" si="70"/>
        <v>6663.6691145617651</v>
      </c>
      <c r="G174" s="21">
        <f t="shared" si="70"/>
        <v>3602.1038971704606</v>
      </c>
      <c r="H174" s="21">
        <f t="shared" si="70"/>
        <v>328.71259282263463</v>
      </c>
      <c r="I174" s="21">
        <f t="shared" si="70"/>
        <v>7269.4082449965481</v>
      </c>
      <c r="J174" s="21">
        <f t="shared" si="70"/>
        <v>3496.1908536921997</v>
      </c>
      <c r="K174" s="21">
        <f t="shared" si="70"/>
        <v>-1201.3413202209888</v>
      </c>
    </row>
    <row r="176" spans="2:11">
      <c r="D176" s="21">
        <f>D174-D152</f>
        <v>-1469.875991718417</v>
      </c>
      <c r="E176" s="21"/>
    </row>
    <row r="177" spans="3:11" hidden="1"/>
    <row r="178" spans="3:11" hidden="1"/>
    <row r="179" spans="3:11" hidden="1"/>
    <row r="180" spans="3:11" hidden="1">
      <c r="D180" s="201" t="s">
        <v>97</v>
      </c>
      <c r="E180" s="201" t="s">
        <v>98</v>
      </c>
      <c r="F180" s="201" t="s">
        <v>99</v>
      </c>
      <c r="G180" s="201" t="s">
        <v>100</v>
      </c>
      <c r="H180" s="201" t="s">
        <v>101</v>
      </c>
      <c r="I180" s="201" t="s">
        <v>102</v>
      </c>
      <c r="J180" s="201" t="s">
        <v>103</v>
      </c>
      <c r="K180" s="201" t="s">
        <v>117</v>
      </c>
    </row>
    <row r="181" spans="3:11" hidden="1">
      <c r="C181" s="252" t="s">
        <v>22</v>
      </c>
      <c r="D181" s="220">
        <f t="shared" ref="D181:K181" si="71">D149</f>
        <v>-64201262.555555344</v>
      </c>
      <c r="E181" s="220">
        <f t="shared" si="71"/>
        <v>285351537.44444418</v>
      </c>
      <c r="F181" s="220">
        <f t="shared" si="71"/>
        <v>187071537.44444418</v>
      </c>
      <c r="G181" s="220">
        <f t="shared" si="71"/>
        <v>116655537.44444418</v>
      </c>
      <c r="H181" s="220">
        <f t="shared" si="71"/>
        <v>41367537.44444418</v>
      </c>
      <c r="I181" s="220">
        <f t="shared" si="71"/>
        <v>201003537.44444418</v>
      </c>
      <c r="J181" s="220">
        <f t="shared" si="71"/>
        <v>114219537.44444418</v>
      </c>
      <c r="K181" s="220">
        <f t="shared" si="71"/>
        <v>65195545</v>
      </c>
    </row>
    <row r="182" spans="3:11" hidden="1">
      <c r="C182" s="252" t="s">
        <v>30</v>
      </c>
      <c r="D182" s="220">
        <f t="shared" ref="D182:K182" si="72">D171</f>
        <v>-98008410.365078926</v>
      </c>
      <c r="E182" s="220">
        <f t="shared" si="72"/>
        <v>251544389.6349206</v>
      </c>
      <c r="F182" s="220">
        <f t="shared" si="72"/>
        <v>153264389.6349206</v>
      </c>
      <c r="G182" s="220">
        <f t="shared" si="72"/>
        <v>82848389.634920597</v>
      </c>
      <c r="H182" s="220">
        <f t="shared" si="72"/>
        <v>7560389.6349205971</v>
      </c>
      <c r="I182" s="220">
        <f t="shared" si="72"/>
        <v>167196389.6349206</v>
      </c>
      <c r="J182" s="220">
        <f t="shared" si="72"/>
        <v>80412389.634920597</v>
      </c>
      <c r="K182" s="220">
        <f t="shared" si="72"/>
        <v>-27630850.365082741</v>
      </c>
    </row>
    <row r="183" spans="3:11" hidden="1">
      <c r="C183" s="7" t="s">
        <v>43</v>
      </c>
      <c r="D183" s="18">
        <f t="shared" ref="D183:K183" si="73">D182-D181</f>
        <v>-33807147.809523582</v>
      </c>
      <c r="E183" s="18">
        <f t="shared" si="73"/>
        <v>-33807147.809523582</v>
      </c>
      <c r="F183" s="18">
        <f t="shared" si="73"/>
        <v>-33807147.809523582</v>
      </c>
      <c r="G183" s="18">
        <f t="shared" si="73"/>
        <v>-33807147.809523582</v>
      </c>
      <c r="H183" s="18">
        <f t="shared" si="73"/>
        <v>-33807147.809523582</v>
      </c>
      <c r="I183" s="18">
        <f t="shared" si="73"/>
        <v>-33807147.809523582</v>
      </c>
      <c r="J183" s="18">
        <f t="shared" si="73"/>
        <v>-33807147.809523582</v>
      </c>
      <c r="K183" s="18">
        <f t="shared" si="73"/>
        <v>-92826395.365082741</v>
      </c>
    </row>
    <row r="184" spans="3:11" hidden="1"/>
    <row r="185" spans="3:11" hidden="1">
      <c r="D185" s="21">
        <f>D183/23000</f>
        <v>-1469.8759917184166</v>
      </c>
    </row>
    <row r="186" spans="3:11" hidden="1"/>
    <row r="188" spans="3:11">
      <c r="F188" t="s">
        <v>118</v>
      </c>
    </row>
    <row r="189" spans="3:11">
      <c r="D189" s="131" t="s">
        <v>95</v>
      </c>
      <c r="E189" s="131" t="s">
        <v>3</v>
      </c>
      <c r="F189" s="131" t="s">
        <v>42</v>
      </c>
      <c r="G189" s="131" t="s">
        <v>43</v>
      </c>
      <c r="H189" s="230" t="s">
        <v>151</v>
      </c>
      <c r="I189" s="118"/>
    </row>
    <row r="190" spans="3:11">
      <c r="D190" s="7" t="s">
        <v>10</v>
      </c>
      <c r="E190" s="220">
        <f>D157</f>
        <v>1345458283.4642859</v>
      </c>
      <c r="F190" s="220">
        <f>D136</f>
        <v>1354599842.4642859</v>
      </c>
      <c r="G190" s="220">
        <f t="shared" ref="G190:G193" si="74">F190-E190</f>
        <v>9141559</v>
      </c>
      <c r="H190" t="s">
        <v>113</v>
      </c>
    </row>
    <row r="191" spans="3:11">
      <c r="D191" s="7" t="s">
        <v>15</v>
      </c>
      <c r="E191" s="220">
        <f>D161</f>
        <v>1335895977</v>
      </c>
      <c r="F191" s="220">
        <f>K140</f>
        <v>1310839740</v>
      </c>
      <c r="G191" s="220">
        <f t="shared" si="74"/>
        <v>-25056237</v>
      </c>
      <c r="H191" t="s">
        <v>119</v>
      </c>
    </row>
    <row r="192" spans="3:11">
      <c r="D192" s="7" t="s">
        <v>17</v>
      </c>
      <c r="E192" s="220">
        <f>D165</f>
        <v>651761479</v>
      </c>
      <c r="F192" s="220">
        <f>K144</f>
        <v>676912380</v>
      </c>
      <c r="G192" s="220">
        <f t="shared" si="74"/>
        <v>25150901</v>
      </c>
      <c r="H192" t="s">
        <v>120</v>
      </c>
    </row>
    <row r="193" spans="4:9">
      <c r="D193" s="7" t="s">
        <v>111</v>
      </c>
      <c r="E193" s="220">
        <f>SUM(E190:E192)</f>
        <v>3333115739.4642859</v>
      </c>
      <c r="F193" s="220">
        <f>SUM(F190:F192)</f>
        <v>3342351962.4642859</v>
      </c>
      <c r="G193" s="220">
        <f t="shared" si="74"/>
        <v>9236223</v>
      </c>
    </row>
    <row r="194" spans="4:9">
      <c r="G194" s="21">
        <f>G193/23000</f>
        <v>401.57491304347826</v>
      </c>
    </row>
    <row r="197" spans="4:9">
      <c r="D197" s="131" t="s">
        <v>95</v>
      </c>
      <c r="E197" s="131" t="s">
        <v>3</v>
      </c>
      <c r="F197" s="131" t="s">
        <v>42</v>
      </c>
      <c r="G197" s="131" t="s">
        <v>43</v>
      </c>
      <c r="H197" s="230" t="s">
        <v>152</v>
      </c>
      <c r="I197" s="118"/>
    </row>
    <row r="198" spans="4:9">
      <c r="D198" s="7" t="s">
        <v>10</v>
      </c>
      <c r="E198" s="220">
        <f t="shared" ref="E198:E200" si="75">E190</f>
        <v>1345458283.4642859</v>
      </c>
      <c r="F198" s="220">
        <f>D158</f>
        <v>1340870078.4642859</v>
      </c>
      <c r="G198" s="220">
        <f t="shared" ref="G198:G201" si="76">F198-E198</f>
        <v>-4588205</v>
      </c>
      <c r="H198" t="s">
        <v>113</v>
      </c>
    </row>
    <row r="199" spans="4:9">
      <c r="D199" s="7" t="s">
        <v>15</v>
      </c>
      <c r="E199" s="220">
        <f t="shared" si="75"/>
        <v>1335895977</v>
      </c>
      <c r="F199" s="220">
        <f>K162</f>
        <v>1304937211.96825</v>
      </c>
      <c r="G199" s="220">
        <f t="shared" si="76"/>
        <v>-30958765.031749964</v>
      </c>
      <c r="H199" t="s">
        <v>119</v>
      </c>
    </row>
    <row r="200" spans="4:9">
      <c r="D200" s="7" t="s">
        <v>17</v>
      </c>
      <c r="E200" s="220">
        <f t="shared" si="75"/>
        <v>651761479</v>
      </c>
      <c r="F200" s="220">
        <f>K166</f>
        <v>659677598.66666698</v>
      </c>
      <c r="G200" s="220">
        <f t="shared" si="76"/>
        <v>7916119.6666669846</v>
      </c>
      <c r="H200" t="s">
        <v>120</v>
      </c>
    </row>
    <row r="201" spans="4:9">
      <c r="D201" s="7" t="s">
        <v>111</v>
      </c>
      <c r="E201" s="220">
        <f>SUM(E198:E200)</f>
        <v>3333115739.4642859</v>
      </c>
      <c r="F201" s="220">
        <f>SUM(F198:F200)</f>
        <v>3305484889.0992031</v>
      </c>
      <c r="G201" s="220">
        <f t="shared" si="76"/>
        <v>-27630850.365082741</v>
      </c>
    </row>
    <row r="202" spans="4:9">
      <c r="G202" s="21">
        <f>G201/23000</f>
        <v>-1201.3413202209888</v>
      </c>
    </row>
    <row r="205" spans="4:9">
      <c r="G205" s="21">
        <f>G202-G194</f>
        <v>-1602.9162332644671</v>
      </c>
    </row>
    <row r="209" spans="3:11">
      <c r="C209" s="300" t="s">
        <v>95</v>
      </c>
      <c r="D209" s="300" t="s">
        <v>96</v>
      </c>
      <c r="E209" s="236" t="s">
        <v>97</v>
      </c>
      <c r="F209" s="236" t="s">
        <v>98</v>
      </c>
      <c r="G209" s="236" t="s">
        <v>99</v>
      </c>
      <c r="H209" s="236" t="s">
        <v>100</v>
      </c>
      <c r="I209" s="236" t="s">
        <v>101</v>
      </c>
      <c r="J209" s="236" t="s">
        <v>102</v>
      </c>
      <c r="K209" s="236" t="s">
        <v>103</v>
      </c>
    </row>
    <row r="210" spans="3:11" ht="30">
      <c r="C210" s="301"/>
      <c r="D210" s="301"/>
      <c r="E210" s="168" t="s">
        <v>104</v>
      </c>
      <c r="F210" s="237" t="s">
        <v>153</v>
      </c>
      <c r="G210" s="237" t="s">
        <v>154</v>
      </c>
      <c r="H210" s="237" t="s">
        <v>155</v>
      </c>
      <c r="I210" s="237" t="s">
        <v>156</v>
      </c>
      <c r="J210" s="237" t="s">
        <v>157</v>
      </c>
      <c r="K210" s="237" t="s">
        <v>157</v>
      </c>
    </row>
    <row r="211" spans="3:11">
      <c r="C211" s="168" t="s">
        <v>10</v>
      </c>
      <c r="D211" s="238">
        <f>+D135</f>
        <v>1345458283.4642859</v>
      </c>
      <c r="E211" s="239">
        <f t="shared" ref="E211:K211" si="77">+D136</f>
        <v>1354599842.4642859</v>
      </c>
      <c r="F211" s="239">
        <f t="shared" si="77"/>
        <v>1481439042.4642856</v>
      </c>
      <c r="G211" s="239">
        <f t="shared" si="77"/>
        <v>1448679042.4642856</v>
      </c>
      <c r="H211" s="239">
        <f t="shared" si="77"/>
        <v>1425207042.4642856</v>
      </c>
      <c r="I211" s="239">
        <f t="shared" si="77"/>
        <v>1400111042.4642856</v>
      </c>
      <c r="J211" s="239">
        <f t="shared" si="77"/>
        <v>1453323042.4642856</v>
      </c>
      <c r="K211" s="239">
        <f t="shared" si="77"/>
        <v>1424395042.4642856</v>
      </c>
    </row>
    <row r="212" spans="3:11">
      <c r="C212" s="168" t="s">
        <v>15</v>
      </c>
      <c r="D212" s="238">
        <f>+D139</f>
        <v>1335895977</v>
      </c>
      <c r="E212" s="239">
        <f t="shared" ref="E212:K212" si="78">+D140</f>
        <v>1272644723.7777777</v>
      </c>
      <c r="F212" s="239">
        <f t="shared" si="78"/>
        <v>1440149923.7777777</v>
      </c>
      <c r="G212" s="239">
        <f t="shared" si="78"/>
        <v>1391009923.7777777</v>
      </c>
      <c r="H212" s="239">
        <f t="shared" si="78"/>
        <v>1355801923.7777777</v>
      </c>
      <c r="I212" s="239">
        <f t="shared" si="78"/>
        <v>1318157923.7777777</v>
      </c>
      <c r="J212" s="239">
        <f t="shared" si="78"/>
        <v>1397975923.7777777</v>
      </c>
      <c r="K212" s="239">
        <f t="shared" si="78"/>
        <v>1354583923.7777777</v>
      </c>
    </row>
    <row r="213" spans="3:11">
      <c r="C213" s="168" t="s">
        <v>17</v>
      </c>
      <c r="D213" s="238">
        <f>+D143</f>
        <v>651761479</v>
      </c>
      <c r="E213" s="239">
        <f t="shared" ref="E213:K213" si="79">+D144</f>
        <v>641669910.66666675</v>
      </c>
      <c r="F213" s="239">
        <f t="shared" si="79"/>
        <v>696878310.66666663</v>
      </c>
      <c r="G213" s="239">
        <f t="shared" si="79"/>
        <v>680498310.66666663</v>
      </c>
      <c r="H213" s="239">
        <f t="shared" si="79"/>
        <v>668762310.66666663</v>
      </c>
      <c r="I213" s="239">
        <f t="shared" si="79"/>
        <v>656214310.66666663</v>
      </c>
      <c r="J213" s="239">
        <f t="shared" si="79"/>
        <v>682820310.66666663</v>
      </c>
      <c r="K213" s="239">
        <f t="shared" si="79"/>
        <v>668356310.66666663</v>
      </c>
    </row>
    <row r="214" spans="3:11">
      <c r="C214" s="168" t="s">
        <v>111</v>
      </c>
      <c r="D214" s="238">
        <f>D211+D212+D213</f>
        <v>3333115739.4642859</v>
      </c>
      <c r="E214" s="238">
        <f t="shared" ref="E214:K214" si="80">+E211+E212+E213</f>
        <v>3268914476.9087305</v>
      </c>
      <c r="F214" s="238">
        <f t="shared" si="80"/>
        <v>3618467276.90873</v>
      </c>
      <c r="G214" s="238">
        <f t="shared" si="80"/>
        <v>3520187276.90873</v>
      </c>
      <c r="H214" s="238">
        <f t="shared" si="80"/>
        <v>3449771276.90873</v>
      </c>
      <c r="I214" s="238">
        <f t="shared" si="80"/>
        <v>3374483276.90873</v>
      </c>
      <c r="J214" s="238">
        <f t="shared" si="80"/>
        <v>3534119276.90873</v>
      </c>
      <c r="K214" s="238">
        <f t="shared" si="80"/>
        <v>3447335276.90873</v>
      </c>
    </row>
    <row r="215" spans="3:11">
      <c r="C215" s="168"/>
      <c r="D215" s="238">
        <f>+D214/23000</f>
        <v>144918.07562888198</v>
      </c>
      <c r="E215" s="238">
        <f>+E214/23000</f>
        <v>142126.71638733611</v>
      </c>
      <c r="F215" s="238">
        <f t="shared" ref="F215:K215" si="81">+F214/23000</f>
        <v>157324.66421342304</v>
      </c>
      <c r="G215" s="238">
        <f t="shared" si="81"/>
        <v>153051.62073516217</v>
      </c>
      <c r="H215" s="238">
        <f t="shared" si="81"/>
        <v>149990.05551777087</v>
      </c>
      <c r="I215" s="238">
        <f t="shared" si="81"/>
        <v>146716.66421342304</v>
      </c>
      <c r="J215" s="238">
        <f t="shared" si="81"/>
        <v>153657.35986559695</v>
      </c>
      <c r="K215" s="238">
        <f t="shared" si="81"/>
        <v>149884.1424742926</v>
      </c>
    </row>
    <row r="216" spans="3:11">
      <c r="C216" s="168" t="s">
        <v>43</v>
      </c>
      <c r="D216" s="168"/>
      <c r="E216" s="239">
        <f t="shared" ref="E216:K216" si="82">+E214-$D$214</f>
        <v>-64201262.555555344</v>
      </c>
      <c r="F216" s="239">
        <f t="shared" si="82"/>
        <v>285351537.44444418</v>
      </c>
      <c r="G216" s="239">
        <f t="shared" si="82"/>
        <v>187071537.44444418</v>
      </c>
      <c r="H216" s="239">
        <f t="shared" si="82"/>
        <v>116655537.44444418</v>
      </c>
      <c r="I216" s="239">
        <f t="shared" si="82"/>
        <v>41367537.44444418</v>
      </c>
      <c r="J216" s="239">
        <f t="shared" si="82"/>
        <v>201003537.44444418</v>
      </c>
      <c r="K216" s="239">
        <f t="shared" si="82"/>
        <v>114219537.44444418</v>
      </c>
    </row>
    <row r="217" spans="3:11">
      <c r="C217" s="168"/>
      <c r="D217" s="168" t="s">
        <v>112</v>
      </c>
      <c r="E217" s="239">
        <f>+E216/23000</f>
        <v>-2791.3592415458843</v>
      </c>
      <c r="F217" s="239">
        <f t="shared" ref="F217:K217" si="83">+F216/23000</f>
        <v>12406.588584541052</v>
      </c>
      <c r="G217" s="239">
        <f t="shared" si="83"/>
        <v>8133.5451062801822</v>
      </c>
      <c r="H217" s="239">
        <f t="shared" si="83"/>
        <v>5071.9798888888772</v>
      </c>
      <c r="I217" s="239">
        <f t="shared" si="83"/>
        <v>1798.5885845410512</v>
      </c>
      <c r="J217" s="239">
        <f t="shared" si="83"/>
        <v>8739.2842367149642</v>
      </c>
      <c r="K217" s="239">
        <f t="shared" si="83"/>
        <v>4966.0668454106162</v>
      </c>
    </row>
    <row r="218" spans="3:11">
      <c r="D218" s="160"/>
      <c r="E218" s="21">
        <f>+E215-$D$215</f>
        <v>-2791.3592415458697</v>
      </c>
      <c r="F218" s="21">
        <f t="shared" ref="F218:K218" si="84">+F215-$D$215</f>
        <v>12406.588584541052</v>
      </c>
      <c r="G218" s="21">
        <f t="shared" si="84"/>
        <v>8133.5451062801876</v>
      </c>
      <c r="H218" s="21">
        <f t="shared" si="84"/>
        <v>5071.9798888888909</v>
      </c>
      <c r="I218" s="21">
        <f t="shared" si="84"/>
        <v>1798.5885845410521</v>
      </c>
      <c r="J218" s="21">
        <f t="shared" si="84"/>
        <v>8739.2842367149715</v>
      </c>
      <c r="K218" s="21">
        <f t="shared" si="84"/>
        <v>4966.0668454106199</v>
      </c>
    </row>
    <row r="219" spans="3:11">
      <c r="D219" s="160"/>
    </row>
    <row r="220" spans="3:11">
      <c r="D220" s="160"/>
    </row>
    <row r="221" spans="3:11">
      <c r="C221" s="300" t="s">
        <v>95</v>
      </c>
      <c r="D221" s="300" t="s">
        <v>96</v>
      </c>
      <c r="E221" s="236" t="s">
        <v>97</v>
      </c>
      <c r="F221" s="236" t="s">
        <v>98</v>
      </c>
      <c r="G221" s="236" t="s">
        <v>99</v>
      </c>
      <c r="H221" s="236" t="s">
        <v>100</v>
      </c>
      <c r="I221" s="236" t="s">
        <v>101</v>
      </c>
      <c r="J221" s="236" t="s">
        <v>102</v>
      </c>
      <c r="K221" s="236" t="s">
        <v>103</v>
      </c>
    </row>
    <row r="222" spans="3:11" ht="30">
      <c r="C222" s="301"/>
      <c r="D222" s="301"/>
      <c r="E222" s="168" t="s">
        <v>104</v>
      </c>
      <c r="F222" s="237" t="s">
        <v>153</v>
      </c>
      <c r="G222" s="237" t="s">
        <v>154</v>
      </c>
      <c r="H222" s="237" t="s">
        <v>155</v>
      </c>
      <c r="I222" s="237" t="s">
        <v>156</v>
      </c>
      <c r="J222" s="237" t="s">
        <v>157</v>
      </c>
      <c r="K222" s="237" t="s">
        <v>157</v>
      </c>
    </row>
    <row r="223" spans="3:11">
      <c r="C223" s="168" t="s">
        <v>10</v>
      </c>
      <c r="D223" s="238">
        <f>+D157</f>
        <v>1345458283.4642859</v>
      </c>
      <c r="E223" s="239">
        <f t="shared" ref="E223:K223" si="85">+D158</f>
        <v>1340870078.4642859</v>
      </c>
      <c r="F223" s="239">
        <f t="shared" si="85"/>
        <v>1467709278.4642856</v>
      </c>
      <c r="G223" s="239">
        <f t="shared" si="85"/>
        <v>1434949278.4642856</v>
      </c>
      <c r="H223" s="239">
        <f t="shared" si="85"/>
        <v>1411477278.4642856</v>
      </c>
      <c r="I223" s="239">
        <f t="shared" si="85"/>
        <v>1386381278.4642856</v>
      </c>
      <c r="J223" s="239">
        <f t="shared" si="85"/>
        <v>1439593278.4642856</v>
      </c>
      <c r="K223" s="239">
        <f t="shared" si="85"/>
        <v>1410665278.4642856</v>
      </c>
    </row>
    <row r="224" spans="3:11">
      <c r="C224" s="168" t="s">
        <v>15</v>
      </c>
      <c r="D224" s="238">
        <f>+D161</f>
        <v>1335895977</v>
      </c>
      <c r="E224" s="239">
        <f t="shared" ref="E224:K224" si="86">+D162</f>
        <v>1262568531.9682541</v>
      </c>
      <c r="F224" s="239">
        <f t="shared" si="86"/>
        <v>1430073731.9682541</v>
      </c>
      <c r="G224" s="239">
        <f t="shared" si="86"/>
        <v>1380933731.9682541</v>
      </c>
      <c r="H224" s="239">
        <f t="shared" si="86"/>
        <v>1345725731.9682541</v>
      </c>
      <c r="I224" s="239">
        <f t="shared" si="86"/>
        <v>1308081731.9682541</v>
      </c>
      <c r="J224" s="239">
        <f t="shared" si="86"/>
        <v>1387899731.9682541</v>
      </c>
      <c r="K224" s="239">
        <f t="shared" si="86"/>
        <v>1344507731.9682541</v>
      </c>
    </row>
    <row r="225" spans="3:11">
      <c r="C225" s="168" t="s">
        <v>17</v>
      </c>
      <c r="D225" s="238">
        <f>+D165</f>
        <v>651761479</v>
      </c>
      <c r="E225" s="239">
        <f t="shared" ref="E225:K225" si="87">+D166</f>
        <v>631668718.66666675</v>
      </c>
      <c r="F225" s="239">
        <f t="shared" si="87"/>
        <v>686877118.66666663</v>
      </c>
      <c r="G225" s="239">
        <f t="shared" si="87"/>
        <v>670497118.66666663</v>
      </c>
      <c r="H225" s="239">
        <f t="shared" si="87"/>
        <v>658761118.66666663</v>
      </c>
      <c r="I225" s="239">
        <f t="shared" si="87"/>
        <v>646213118.66666663</v>
      </c>
      <c r="J225" s="239">
        <f t="shared" si="87"/>
        <v>672819118.66666663</v>
      </c>
      <c r="K225" s="239">
        <f t="shared" si="87"/>
        <v>658355118.66666663</v>
      </c>
    </row>
    <row r="226" spans="3:11">
      <c r="C226" s="168" t="s">
        <v>111</v>
      </c>
      <c r="D226" s="238">
        <f t="shared" ref="D226:K226" si="88">+D223+D224+D225</f>
        <v>3333115739.4642859</v>
      </c>
      <c r="E226" s="238">
        <f t="shared" si="88"/>
        <v>3235107329.0992069</v>
      </c>
      <c r="F226" s="238">
        <f t="shared" si="88"/>
        <v>3584660129.0992064</v>
      </c>
      <c r="G226" s="238">
        <f t="shared" si="88"/>
        <v>3486380129.0992064</v>
      </c>
      <c r="H226" s="238">
        <f t="shared" si="88"/>
        <v>3415964129.0992064</v>
      </c>
      <c r="I226" s="238">
        <f t="shared" si="88"/>
        <v>3340676129.0992064</v>
      </c>
      <c r="J226" s="238">
        <f t="shared" si="88"/>
        <v>3500312129.0992064</v>
      </c>
      <c r="K226" s="238">
        <f t="shared" si="88"/>
        <v>3413528129.0992064</v>
      </c>
    </row>
    <row r="227" spans="3:11">
      <c r="C227" s="168" t="s">
        <v>43</v>
      </c>
      <c r="D227" s="168"/>
      <c r="E227" s="239">
        <f t="shared" ref="E227:K227" si="89">+E226-$D$226</f>
        <v>-98008410.365078926</v>
      </c>
      <c r="F227" s="239">
        <f t="shared" si="89"/>
        <v>251544389.6349206</v>
      </c>
      <c r="G227" s="239">
        <f t="shared" si="89"/>
        <v>153264389.6349206</v>
      </c>
      <c r="H227" s="239">
        <f t="shared" si="89"/>
        <v>82848389.634920597</v>
      </c>
      <c r="I227" s="239">
        <f t="shared" si="89"/>
        <v>7560389.6349205971</v>
      </c>
      <c r="J227" s="239">
        <f t="shared" si="89"/>
        <v>167196389.6349206</v>
      </c>
      <c r="K227" s="239">
        <f t="shared" si="89"/>
        <v>80412389.634920597</v>
      </c>
    </row>
    <row r="228" spans="3:11">
      <c r="C228" s="168"/>
      <c r="D228" s="168" t="s">
        <v>112</v>
      </c>
      <c r="E228" s="239">
        <f t="shared" ref="E228:K228" si="90">+E227/23000</f>
        <v>-4261.2352332643013</v>
      </c>
      <c r="F228" s="239">
        <f t="shared" si="90"/>
        <v>10936.712592822634</v>
      </c>
      <c r="G228" s="239">
        <f t="shared" si="90"/>
        <v>6663.6691145617651</v>
      </c>
      <c r="H228" s="239">
        <f t="shared" si="90"/>
        <v>3602.1038971704606</v>
      </c>
      <c r="I228" s="239">
        <f t="shared" si="90"/>
        <v>328.71259282263463</v>
      </c>
      <c r="J228" s="239">
        <f t="shared" si="90"/>
        <v>7269.4082449965481</v>
      </c>
      <c r="K228" s="239">
        <f t="shared" si="90"/>
        <v>3496.1908536921997</v>
      </c>
    </row>
    <row r="230" spans="3:11">
      <c r="K230" s="21">
        <f>+K217-K228</f>
        <v>1469.8759917184166</v>
      </c>
    </row>
    <row r="235" spans="3:11" ht="48" customHeight="1">
      <c r="C235" s="306" t="s">
        <v>198</v>
      </c>
      <c r="D235" s="307"/>
      <c r="E235" s="200" t="s">
        <v>199</v>
      </c>
      <c r="F235" s="200" t="s">
        <v>200</v>
      </c>
      <c r="G235" s="200" t="s">
        <v>201</v>
      </c>
      <c r="H235" s="200" t="s">
        <v>202</v>
      </c>
      <c r="I235" s="200" t="s">
        <v>203</v>
      </c>
      <c r="J235" s="200" t="s">
        <v>204</v>
      </c>
    </row>
    <row r="236" spans="3:11">
      <c r="C236" s="226" t="s">
        <v>96</v>
      </c>
      <c r="D236" s="240">
        <f>D226/23000</f>
        <v>144918.07562888198</v>
      </c>
      <c r="E236" s="225">
        <f>K148/23000</f>
        <v>147752.66454192548</v>
      </c>
      <c r="F236" s="225">
        <f>E214/23000</f>
        <v>142126.71638733611</v>
      </c>
      <c r="G236" s="225">
        <f>G214/23000</f>
        <v>153051.62073516217</v>
      </c>
      <c r="H236" s="225">
        <f>I214/23000</f>
        <v>146716.66421342304</v>
      </c>
      <c r="I236" s="225">
        <f>'Total (10 new cars)'!F148/23000</f>
        <v>143144.83812646652</v>
      </c>
      <c r="J236" s="225">
        <f>'Total (10 new cars)'!F171/23000</f>
        <v>141674.96213474812</v>
      </c>
    </row>
    <row r="237" spans="3:11">
      <c r="C237" s="320" t="s">
        <v>43</v>
      </c>
      <c r="D237" s="321"/>
      <c r="E237" s="225">
        <f t="shared" ref="E237:J237" si="91">E236-$D$236</f>
        <v>2834.5889130434953</v>
      </c>
      <c r="F237" s="225">
        <f t="shared" si="91"/>
        <v>-2791.3592415458697</v>
      </c>
      <c r="G237" s="225">
        <f t="shared" si="91"/>
        <v>8133.5451062801876</v>
      </c>
      <c r="H237" s="225">
        <f t="shared" si="91"/>
        <v>1798.5885845410521</v>
      </c>
      <c r="I237" s="225">
        <f t="shared" si="91"/>
        <v>-1773.2375024154608</v>
      </c>
      <c r="J237" s="225">
        <f t="shared" si="91"/>
        <v>-3243.1134941338678</v>
      </c>
    </row>
    <row r="238" spans="3:11">
      <c r="C238" s="320" t="s">
        <v>205</v>
      </c>
      <c r="D238" s="321"/>
      <c r="E238" s="226" t="s">
        <v>206</v>
      </c>
      <c r="F238" s="226" t="s">
        <v>207</v>
      </c>
      <c r="G238" s="226" t="s">
        <v>207</v>
      </c>
      <c r="H238" s="226" t="s">
        <v>207</v>
      </c>
      <c r="I238" s="226" t="s">
        <v>207</v>
      </c>
      <c r="J238" s="226" t="s">
        <v>207</v>
      </c>
    </row>
    <row r="239" spans="3:11">
      <c r="C239" s="320" t="s">
        <v>39</v>
      </c>
      <c r="D239" s="321"/>
      <c r="E239" s="226" t="s">
        <v>208</v>
      </c>
      <c r="F239" s="226" t="s">
        <v>208</v>
      </c>
      <c r="G239" s="226" t="s">
        <v>208</v>
      </c>
      <c r="H239" s="226" t="s">
        <v>209</v>
      </c>
      <c r="I239" s="226" t="s">
        <v>208</v>
      </c>
      <c r="J239" s="226" t="s">
        <v>210</v>
      </c>
    </row>
    <row r="240" spans="3:11" s="161" customFormat="1" ht="44.1" customHeight="1">
      <c r="C240" s="320" t="s">
        <v>211</v>
      </c>
      <c r="D240" s="321"/>
      <c r="E240" s="226" t="s">
        <v>212</v>
      </c>
      <c r="F240" s="226" t="s">
        <v>212</v>
      </c>
      <c r="G240" s="241" t="s">
        <v>213</v>
      </c>
      <c r="H240" s="241" t="s">
        <v>214</v>
      </c>
      <c r="I240" s="241" t="s">
        <v>213</v>
      </c>
      <c r="J240" s="241" t="s">
        <v>213</v>
      </c>
    </row>
    <row r="241" spans="3:10">
      <c r="C241" s="282" t="s">
        <v>215</v>
      </c>
      <c r="D241" s="226" t="s">
        <v>216</v>
      </c>
      <c r="E241" s="226"/>
      <c r="F241" s="226"/>
      <c r="G241" s="226"/>
      <c r="H241" s="226"/>
      <c r="I241" s="226"/>
      <c r="J241" s="226"/>
    </row>
    <row r="242" spans="3:10">
      <c r="C242" s="283"/>
      <c r="D242" s="226" t="s">
        <v>217</v>
      </c>
      <c r="E242" s="226"/>
      <c r="F242" s="226"/>
      <c r="G242" s="226"/>
      <c r="H242" s="226"/>
      <c r="I242" s="226"/>
      <c r="J242" s="226"/>
    </row>
    <row r="243" spans="3:10">
      <c r="C243" s="284"/>
      <c r="D243" s="226" t="s">
        <v>218</v>
      </c>
      <c r="E243" s="226"/>
      <c r="F243" s="226"/>
      <c r="G243" s="226"/>
      <c r="H243" s="226"/>
      <c r="I243" s="226"/>
      <c r="J243" s="226"/>
    </row>
    <row r="247" spans="3:10">
      <c r="E247">
        <f>1700*12</f>
        <v>20400</v>
      </c>
    </row>
    <row r="251" spans="3:10">
      <c r="D251" s="25">
        <v>47644035.903495401</v>
      </c>
      <c r="E251" s="25">
        <v>31980500</v>
      </c>
    </row>
    <row r="252" spans="3:10">
      <c r="D252" s="25">
        <v>49912198.1091692</v>
      </c>
      <c r="E252" s="25">
        <v>33243061.837606799</v>
      </c>
    </row>
    <row r="253" spans="3:10">
      <c r="D253" s="21">
        <f>D252-D251</f>
        <v>2268162.2056737989</v>
      </c>
      <c r="E253" s="21">
        <f>E252-E251</f>
        <v>1262561.8376067989</v>
      </c>
    </row>
    <row r="255" spans="3:10">
      <c r="D255" s="21">
        <f>D253*47+E253*27</f>
        <v>140692793.2820521</v>
      </c>
    </row>
    <row r="256" spans="3:10">
      <c r="D256" s="21">
        <f>D255/23000</f>
        <v>6117.0779687848735</v>
      </c>
    </row>
  </sheetData>
  <mergeCells count="126">
    <mergeCell ref="I32:I34"/>
    <mergeCell ref="I39:I41"/>
    <mergeCell ref="J48:J49"/>
    <mergeCell ref="K48:M49"/>
    <mergeCell ref="K66:M68"/>
    <mergeCell ref="K60:M62"/>
    <mergeCell ref="K78:M80"/>
    <mergeCell ref="K72:M74"/>
    <mergeCell ref="B155:C156"/>
    <mergeCell ref="B133:C134"/>
    <mergeCell ref="C111:C124"/>
    <mergeCell ref="C125:C127"/>
    <mergeCell ref="G146:H146"/>
    <mergeCell ref="I146:J146"/>
    <mergeCell ref="B48:B49"/>
    <mergeCell ref="B51:B54"/>
    <mergeCell ref="B55:B58"/>
    <mergeCell ref="B59:B64"/>
    <mergeCell ref="B65:B70"/>
    <mergeCell ref="B71:B76"/>
    <mergeCell ref="B77:B82"/>
    <mergeCell ref="B83:B127"/>
    <mergeCell ref="B135:B138"/>
    <mergeCell ref="B139:B142"/>
    <mergeCell ref="C209:C210"/>
    <mergeCell ref="C221:C222"/>
    <mergeCell ref="C241:C243"/>
    <mergeCell ref="D48:D49"/>
    <mergeCell ref="D209:D210"/>
    <mergeCell ref="D221:D222"/>
    <mergeCell ref="E48:E49"/>
    <mergeCell ref="C48:C49"/>
    <mergeCell ref="C51:C54"/>
    <mergeCell ref="C55:C58"/>
    <mergeCell ref="C59:C62"/>
    <mergeCell ref="C65:C68"/>
    <mergeCell ref="C71:C74"/>
    <mergeCell ref="C77:C80"/>
    <mergeCell ref="C83:C96"/>
    <mergeCell ref="C97:C110"/>
    <mergeCell ref="E146:F146"/>
    <mergeCell ref="C235:D235"/>
    <mergeCell ref="C237:D237"/>
    <mergeCell ref="C238:D238"/>
    <mergeCell ref="C239:D239"/>
    <mergeCell ref="C240:D240"/>
    <mergeCell ref="F48:G48"/>
    <mergeCell ref="B147:B150"/>
    <mergeCell ref="B157:B160"/>
    <mergeCell ref="B161:B164"/>
    <mergeCell ref="B165:B168"/>
    <mergeCell ref="B169:B172"/>
    <mergeCell ref="K123:M123"/>
    <mergeCell ref="K124:M124"/>
    <mergeCell ref="K125:M125"/>
    <mergeCell ref="K126:M126"/>
    <mergeCell ref="K127:M127"/>
    <mergeCell ref="E138:F138"/>
    <mergeCell ref="G138:H138"/>
    <mergeCell ref="I138:J138"/>
    <mergeCell ref="E142:F142"/>
    <mergeCell ref="G142:H142"/>
    <mergeCell ref="I142:J142"/>
    <mergeCell ref="K115:M115"/>
    <mergeCell ref="K116:M116"/>
    <mergeCell ref="K117:M117"/>
    <mergeCell ref="K118:M118"/>
    <mergeCell ref="K119:M119"/>
    <mergeCell ref="K120:M120"/>
    <mergeCell ref="K121:M121"/>
    <mergeCell ref="K122:M122"/>
    <mergeCell ref="B143:B146"/>
    <mergeCell ref="K106:M106"/>
    <mergeCell ref="K107:M107"/>
    <mergeCell ref="K108:M108"/>
    <mergeCell ref="K109:M109"/>
    <mergeCell ref="K110:M110"/>
    <mergeCell ref="K111:M111"/>
    <mergeCell ref="K112:M112"/>
    <mergeCell ref="K113:M113"/>
    <mergeCell ref="K114:M114"/>
    <mergeCell ref="K97:M97"/>
    <mergeCell ref="K98:M98"/>
    <mergeCell ref="K99:M99"/>
    <mergeCell ref="K100:M100"/>
    <mergeCell ref="K101:M101"/>
    <mergeCell ref="K102:M102"/>
    <mergeCell ref="K103:M103"/>
    <mergeCell ref="K104:M104"/>
    <mergeCell ref="K105:M105"/>
    <mergeCell ref="K88:M88"/>
    <mergeCell ref="K89:M89"/>
    <mergeCell ref="K90:M90"/>
    <mergeCell ref="K91:M91"/>
    <mergeCell ref="K92:M92"/>
    <mergeCell ref="K93:M93"/>
    <mergeCell ref="K94:M94"/>
    <mergeCell ref="K95:M95"/>
    <mergeCell ref="K96:M96"/>
    <mergeCell ref="K76:M76"/>
    <mergeCell ref="K77:M77"/>
    <mergeCell ref="K81:M81"/>
    <mergeCell ref="K82:M82"/>
    <mergeCell ref="K83:M83"/>
    <mergeCell ref="K84:M84"/>
    <mergeCell ref="K85:M85"/>
    <mergeCell ref="K86:M86"/>
    <mergeCell ref="K87:M87"/>
    <mergeCell ref="K58:M58"/>
    <mergeCell ref="K59:M59"/>
    <mergeCell ref="K63:M63"/>
    <mergeCell ref="K64:M64"/>
    <mergeCell ref="K65:M65"/>
    <mergeCell ref="K69:M69"/>
    <mergeCell ref="K70:M70"/>
    <mergeCell ref="K71:M71"/>
    <mergeCell ref="K75:M75"/>
    <mergeCell ref="H48:I48"/>
    <mergeCell ref="K50:M50"/>
    <mergeCell ref="K51:M51"/>
    <mergeCell ref="K52:M52"/>
    <mergeCell ref="K53:M53"/>
    <mergeCell ref="K54:M54"/>
    <mergeCell ref="K55:M55"/>
    <mergeCell ref="K56:M56"/>
    <mergeCell ref="K57:M57"/>
  </mergeCells>
  <pageMargins left="0.7" right="0.7" top="0.75" bottom="0.75" header="0.3" footer="0.3"/>
  <pageSetup paperSize="9" scale="39" fitToHeight="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Total (2)</vt:lpstr>
      <vt:lpstr>Total (3)</vt:lpstr>
      <vt:lpstr>Total</vt:lpstr>
      <vt:lpstr>OT (2)</vt:lpstr>
      <vt:lpstr>Total (10 new cars) (2)</vt:lpstr>
      <vt:lpstr>Total (10 new cars) (3)</vt:lpstr>
      <vt:lpstr>Total (10 new cars)</vt:lpstr>
      <vt:lpstr>Total (final, new night)</vt:lpstr>
      <vt:lpstr>Total (final, current night)</vt:lpstr>
      <vt:lpstr>OT</vt:lpstr>
      <vt:lpstr>Lexus</vt:lpstr>
      <vt:lpstr>Camry 2.5G</vt:lpstr>
      <vt:lpstr>Innova </vt:lpstr>
      <vt:lpstr>11 seats (Transit 3 years)</vt:lpstr>
      <vt:lpstr>Xpander</vt:lpstr>
      <vt:lpstr>11 seats (Hiace) (2)</vt:lpstr>
      <vt:lpstr>11 seats (Hiace)</vt:lpstr>
      <vt:lpstr>11 seats (Transit)</vt:lpstr>
      <vt:lpstr>Fortuner</vt:lpstr>
      <vt:lpstr>Fortuner.</vt:lpstr>
      <vt:lpstr>Honda CRV</vt:lpstr>
      <vt:lpstr>Camry 2.0G</vt:lpstr>
      <vt:lpstr>11 seats</vt:lpstr>
      <vt:lpstr>'11 seats (Hiace)'!Print_Area</vt:lpstr>
      <vt:lpstr>'11 seats (Hiace) (2)'!Print_Area</vt:lpstr>
      <vt:lpstr>'11 seats (Transit)'!Print_Area</vt:lpstr>
      <vt:lpstr>'Camry 2.0G'!Print_Area</vt:lpstr>
      <vt:lpstr>'Camry 2.5G'!Print_Area</vt:lpstr>
      <vt:lpstr>Fortuner!Print_Area</vt:lpstr>
      <vt:lpstr>'Honda CRV'!Print_Area</vt:lpstr>
      <vt:lpstr>Lexus!Print_Area</vt:lpstr>
      <vt:lpstr>Total!Print_Area</vt:lpstr>
      <vt:lpstr>'Total (10 new cars)'!Print_Area</vt:lpstr>
      <vt:lpstr>'Total (10 new cars) (2)'!Print_Area</vt:lpstr>
      <vt:lpstr>'Total (10 new cars) (3)'!Print_Area</vt:lpstr>
      <vt:lpstr>'Total (2)'!Print_Area</vt:lpstr>
      <vt:lpstr>'Total (3)'!Print_Area</vt:lpstr>
      <vt:lpstr>'Total (final, current night)'!Print_Area</vt:lpstr>
      <vt:lpstr>'Total (final, new night)'!Print_Area</vt:lpstr>
      <vt:lpstr>Xpander!Print_Area</vt:lpstr>
      <vt:lpstr>Total!Print_Titles</vt:lpstr>
      <vt:lpstr>'Total (10 new cars)'!Print_Titles</vt:lpstr>
      <vt:lpstr>'Total (10 new cars) (2)'!Print_Titles</vt:lpstr>
      <vt:lpstr>'Total (10 new cars) (3)'!Print_Titles</vt:lpstr>
      <vt:lpstr>'Total (final, current night)'!Print_Titles</vt:lpstr>
      <vt:lpstr>'Total (final, new night)'!Print_Titles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Xuan</dc:creator>
  <cp:lastModifiedBy>Nguyen Thi Xuan</cp:lastModifiedBy>
  <cp:lastPrinted>2022-05-17T06:03:00Z</cp:lastPrinted>
  <dcterms:created xsi:type="dcterms:W3CDTF">2021-06-19T01:22:00Z</dcterms:created>
  <dcterms:modified xsi:type="dcterms:W3CDTF">2024-11-09T08:11:01Z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1033-11.2.0.10224</vt:lpwstr>
  </property>
</Properties>
</file>