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4"/>
  </bookViews>
  <sheets>
    <sheet name="价格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玉米进出口" sheetId="24" r:id="rId11"/>
    <sheet name="平衡表" sheetId="7" r:id="rId12"/>
    <sheet name="种植成本" sheetId="8" r:id="rId13"/>
    <sheet name="备忘录" sheetId="13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E75" i="22" l="1"/>
  <c r="S116" i="3" l="1"/>
  <c r="T116" i="3"/>
  <c r="U116" i="3"/>
  <c r="V116" i="3"/>
  <c r="W116" i="3"/>
  <c r="AJ116" i="3"/>
  <c r="AM116" i="3" s="1"/>
  <c r="AF116" i="3"/>
  <c r="AE116" i="3"/>
  <c r="AE115" i="3"/>
  <c r="AC115" i="3"/>
  <c r="AC116" i="3"/>
  <c r="F115" i="3"/>
  <c r="F116" i="3"/>
  <c r="X116" i="3"/>
  <c r="AA116" i="3" s="1"/>
  <c r="AB116" i="3" s="1"/>
  <c r="AQ116" i="3"/>
  <c r="AN116" i="3"/>
  <c r="I1653" i="6"/>
  <c r="K1653" i="6"/>
  <c r="M1653" i="6"/>
  <c r="O1653" i="6"/>
  <c r="W9" i="9" l="1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1652" i="6" l="1"/>
  <c r="K1652" i="6"/>
  <c r="M1652" i="6"/>
  <c r="O1652" i="6"/>
  <c r="I1651" i="6" l="1"/>
  <c r="K1651" i="6"/>
  <c r="M1651" i="6"/>
  <c r="O1651" i="6"/>
  <c r="I1650" i="6" l="1"/>
  <c r="K1650" i="6"/>
  <c r="M1650" i="6"/>
  <c r="O1650" i="6"/>
  <c r="G24" i="9" l="1"/>
  <c r="G22" i="9"/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Q36" i="16"/>
  <c r="N37" i="16"/>
  <c r="N36" i="16"/>
  <c r="B11" i="16"/>
  <c r="N35" i="16" s="1"/>
  <c r="Q35" i="16" s="1"/>
  <c r="B13" i="16" l="1"/>
  <c r="B17" i="16" s="1"/>
  <c r="L33" i="16"/>
  <c r="I1646" i="6"/>
  <c r="K1646" i="6"/>
  <c r="M1646" i="6"/>
  <c r="O1646" i="6"/>
  <c r="B18" i="16" l="1"/>
  <c r="B16" i="16"/>
  <c r="I1645" i="6"/>
  <c r="K1645" i="6"/>
  <c r="M1645" i="6"/>
  <c r="O1645" i="6"/>
  <c r="B20" i="16" l="1"/>
  <c r="I1644" i="6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E63" i="22" l="1"/>
  <c r="E64" i="22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3" i="16" l="1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Q38" i="16" s="1"/>
  <c r="N34" i="16" l="1"/>
  <c r="Q34" i="16" s="1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6" i="16" l="1"/>
  <c r="B7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N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<sst xmlns="http://schemas.openxmlformats.org/spreadsheetml/2006/main" count="740" uniqueCount="517">
  <si>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</si>
  <si>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</si>
  <si>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</si>
  <si>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</si>
  <si>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</si>
  <si>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</si>
  <si>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</si>
  <si>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</si>
  <si>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</si>
  <si>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</si>
  <si>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</si>
  <si>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</si>
  <si>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</si>
  <si>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</si>
  <si>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</si>
  <si>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</si>
  <si>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</si>
  <si>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</si>
  <si>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</si>
  <si>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</si>
  <si>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</si>
  <si>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</si>
  <si>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</si>
  <si>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</si>
  <si>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</si>
  <si>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</si>
  <si>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</si>
  <si>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</si>
  <si>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</si>
  <si>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</si>
  <si>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</si>
  <si>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</si>
  <si>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</si>
  <si>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</si>
  <si>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</si>
  <si>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</si>
  <si>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</si>
  <si>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</si>
  <si>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</si>
  <si>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</si>
  <si>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</si>
  <si>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</si>
  <si>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</si>
  <si>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</si>
  <si>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</si>
  <si>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</si>
  <si>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</si>
  <si>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</si>
  <si>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</si>
  <si>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</si>
  <si>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</si>
  <si>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</si>
  <si>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</si>
  <si>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</si>
  <si>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</si>
  <si>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</si>
  <si>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</si>
  <si>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</si>
  <si>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</si>
  <si>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</si>
  <si>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</si>
  <si>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</si>
  <si>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</si>
  <si>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</si>
  <si>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</si>
  <si>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</si>
  <si>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</si>
  <si>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</si>
  <si>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</si>
  <si>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</si>
  <si>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</si>
  <si>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</si>
  <si>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</si>
  <si>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</si>
  <si>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</si>
  <si>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</si>
  <si>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</si>
  <si>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</si>
  <si>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</si>
  <si>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</si>
  <si>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</si>
  <si>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</si>
  <si>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</si>
  <si>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</si>
  <si>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</si>
  <si>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</si>
  <si>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</si>
  <si>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</si>
  <si>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</si>
  <si>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</si>
  <si>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</si>
  <si>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</si>
  <si>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</si>
  <si>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</si>
  <si>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</si>
  <si>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</si>
  <si>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</si>
  <si>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</si>
  <si>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</si>
  <si>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</si>
  <si>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</si>
  <si>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</si>
  <si>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</si>
  <si>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</si>
  <si>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</si>
  <si>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</si>
  <si>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</si>
  <si>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</si>
  <si>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</si>
  <si>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</si>
  <si>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</si>
  <si>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</si>
  <si>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</si>
  <si>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</si>
  <si>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</si>
  <si>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</si>
  <si>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</si>
  <si>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</si>
  <si>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</si>
  <si>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</si>
  <si>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</si>
  <si>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</si>
  <si>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</si>
  <si>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</si>
  <si>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</si>
  <si>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</si>
  <si>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</si>
  <si>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</si>
  <si>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</si>
  <si>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</si>
  <si>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</si>
  <si>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</si>
  <si>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</si>
  <si>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</si>
  <si>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</si>
  <si>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</si>
  <si>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</si>
  <si>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</si>
  <si>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</si>
  <si>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</si>
  <si>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</si>
  <si>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</si>
  <si>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</si>
  <si>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</si>
  <si>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</si>
  <si>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</si>
  <si>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</si>
  <si>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</si>
  <si>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</si>
  <si>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</si>
  <si>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</si>
  <si>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</si>
  <si>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</si>
  <si>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</si>
  <si>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</si>
  <si>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</si>
  <si>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</si>
  <si>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</si>
  <si>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</si>
  <si>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</si>
  <si>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</si>
  <si>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</si>
  <si>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</si>
  <si>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</si>
  <si>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</si>
  <si>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</si>
  <si>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</si>
  <si>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</si>
  <si>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</si>
  <si>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</si>
  <si>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</si>
  <si>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</si>
  <si>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</si>
  <si>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</si>
  <si>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</si>
  <si>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</si>
  <si>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</si>
  <si>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</si>
  <si>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</si>
  <si>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</si>
  <si>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</si>
  <si>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</si>
  <si>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</si>
  <si>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</si>
  <si>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</si>
  <si>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</si>
  <si>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</si>
  <si>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</si>
  <si>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</si>
  <si>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</si>
  <si>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</si>
  <si>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</si>
  <si>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</si>
  <si>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</si>
  <si>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</si>
  <si>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</si>
  <si>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</si>
  <si>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</si>
  <si>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</si>
  <si>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</si>
  <si>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</si>
  <si>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</si>
  <si>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</si>
  <si>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</si>
  <si>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</si>
  <si>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</si>
  <si>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</si>
  <si>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</si>
  <si>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</si>
  <si>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</si>
  <si>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</si>
  <si>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</si>
  <si>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</si>
  <si>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</si>
  <si>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</si>
  <si>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</si>
  <si>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</si>
  <si>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</si>
  <si>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</si>
  <si>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</si>
  <si>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</si>
  <si>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</si>
  <si>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</si>
  <si>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</si>
  <si>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</si>
  <si>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</si>
  <si>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</si>
  <si>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</si>
  <si>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</si>
  <si>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</si>
  <si>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</si>
  <si>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</si>
  <si>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</si>
  <si>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</si>
  <si>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</si>
  <si>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</si>
  <si>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</si>
  <si>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</si>
  <si>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</si>
  <si>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</si>
  <si>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</si>
  <si>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</si>
  <si>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</si>
  <si>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</si>
  <si>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</si>
  <si>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</si>
  <si>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</si>
  <si>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</si>
  <si>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</si>
  <si>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</si>
  <si>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</si>
  <si>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</si>
  <si>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</si>
  <si>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</si>
  <si>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</si>
  <si>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</si>
  <si>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</si>
  <si>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</si>
  <si>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</si>
  <si>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</si>
  <si>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</si>
  <si>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</si>
  <si>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</si>
  <si>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</si>
  <si>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</si>
  <si>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</si>
  <si>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</si>
  <si>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</si>
  <si>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</si>
  <si>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</si>
  <si>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</si>
  <si>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</si>
  <si>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</si>
  <si>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</si>
  <si>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</si>
  <si>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</si>
  <si>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</si>
  <si>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</si>
  <si>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</si>
  <si>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</si>
  <si>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</si>
  <si>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</si>
  <si>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</si>
  <si>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</si>
  <si>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</si>
  <si>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</si>
  <si>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</si>
  <si>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</si>
  <si>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</si>
  <si>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</si>
  <si>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</si>
  <si>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</si>
  <si>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</si>
  <si>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</si>
  <si>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</si>
  <si>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</si>
  <si>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</si>
  <si>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</si>
  <si>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</si>
  <si>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</si>
  <si>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</si>
  <si>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</si>
  <si>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</si>
  <si>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</si>
  <si>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</si>
  <si>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</si>
  <si>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</si>
  <si>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</si>
  <si>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</si>
  <si>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</si>
  <si>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</si>
  <si>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</si>
  <si>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</si>
  <si>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</si>
  <si>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</si>
  <si>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</si>
  <si>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</si>
  <si>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</si>
  <si>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</si>
  <si>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</si>
  <si>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</si>
  <si>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</si>
  <si>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</si>
  <si>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</si>
  <si>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</si>
  <si>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</si>
  <si>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</si>
  <si>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</si>
  <si>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</si>
  <si>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</si>
  <si>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</si>
  <si>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</si>
  <si>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</si>
  <si>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</si>
  <si>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</si>
  <si>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</si>
  <si>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</si>
  <si>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</si>
  <si>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</si>
  <si>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</si>
  <si>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</si>
  <si>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</si>
  <si>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</si>
  <si>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</si>
  <si>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</si>
  <si>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</si>
  <si>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</si>
  <si>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</si>
  <si>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</si>
  <si>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</si>
  <si>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</si>
  <si>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</si>
  <si>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</si>
  <si>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</si>
  <si>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</si>
  <si>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</si>
  <si>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</si>
  <si>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</si>
  <si>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</si>
  <si>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</si>
  <si>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</si>
  <si>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</si>
  <si>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</si>
  <si>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</si>
  <si>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</si>
  <si>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</si>
  <si>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</si>
  <si>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</si>
  <si>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</si>
  <si>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</si>
  <si>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</si>
  <si>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</si>
  <si>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</si>
  <si>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</si>
  <si>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</si>
  <si>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</si>
  <si>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</si>
  <si>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</si>
  <si>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</si>
  <si>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</si>
  <si>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</si>
  <si>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</si>
  <si>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</si>
  <si>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</si>
  <si>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</si>
  <si>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</si>
  <si>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</si>
  <si>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</si>
  <si>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</si>
  <si>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</si>
  <si>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</si>
  <si>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</si>
  <si>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</si>
  <si>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</si>
  <si>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</si>
  <si>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</si>
  <si>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</si>
  <si>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</si>
  <si>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</si>
  <si>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</si>
  <si>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</si>
  <si>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</si>
  <si>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</si>
  <si>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</si>
  <si>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</si>
  <si>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</si>
  <si>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</si>
  <si>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</si>
  <si>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</si>
  <si>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</si>
  <si>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</si>
  <si>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</si>
  <si>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</si>
  <si>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</si>
  <si>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</si>
  <si>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</si>
  <si>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</si>
  <si>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</si>
  <si>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</si>
  <si>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</si>
  <si>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</si>
  <si>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</si>
  <si>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</si>
  <si>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</si>
  <si>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</si>
  <si>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</si>
  <si>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</si>
  <si>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</si>
  <si>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</si>
  <si>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</si>
  <si>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</si>
  <si>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</si>
  <si>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</si>
  <si>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</si>
  <si>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</si>
  <si>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</si>
  <si>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</si>
  <si>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</si>
  <si>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</si>
  <si>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</si>
  <si>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</si>
  <si>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</si>
  <si>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</si>
  <si>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</si>
  <si>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</si>
  <si>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</si>
  <si>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</si>
  <si>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</si>
  <si>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</si>
  <si>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</si>
  <si>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</si>
  <si>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</si>
  <si>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</si>
  <si>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</si>
  <si>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</si>
  <si>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</si>
  <si>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</si>
  <si>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</si>
  <si>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</si>
  <si>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</si>
  <si>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</si>
  <si>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</si>
  <si>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</si>
  <si>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</si>
  <si>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</si>
  <si>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</si>
  <si>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</si>
  <si>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</si>
  <si>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</si>
  <si>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</si>
  <si>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</si>
  <si>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</si>
  <si>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</si>
  <si>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</si>
  <si>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</si>
  <si>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</si>
  <si>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</si>
  <si>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</si>
  <si>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</si>
  <si>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</si>
  <si>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</si>
  <si>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</si>
  <si>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</si>
  <si>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</si>
  <si>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</si>
  <si>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</si>
  <si>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</si>
  <si>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</si>
  <si>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南方销区港口价格继续上涨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</si>
  <si>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</si>
  <si>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</si>
  <si>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</si>
  <si>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</si>
  <si>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</si>
  <si>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</si>
  <si>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</si>
  <si>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</si>
  <si>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</si>
  <si>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</si>
  <si>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</si>
  <si>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</si>
  <si>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</si>
  <si>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</si>
  <si>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</si>
  <si>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</si>
  <si>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月份</t>
    <phoneticPr fontId="1" type="noConversion"/>
  </si>
  <si>
    <t>进口量（万吨）</t>
    <phoneticPr fontId="1" type="noConversion"/>
  </si>
  <si>
    <t>金额（万元）</t>
    <phoneticPr fontId="1" type="noConversion"/>
  </si>
  <si>
    <t>出口量（吨）</t>
    <phoneticPr fontId="1" type="noConversion"/>
  </si>
  <si>
    <t>金额（元）</t>
    <phoneticPr fontId="1" type="noConversion"/>
  </si>
  <si>
    <t>玉米</t>
    <phoneticPr fontId="1" type="noConversion"/>
  </si>
  <si>
    <t>大麦</t>
    <phoneticPr fontId="1" type="noConversion"/>
  </si>
  <si>
    <t>高粱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</si>
  <si>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</si>
  <si>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</si>
  <si>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东北地区报价稳定，华北地区报价涨跌互现</t>
    <phoneticPr fontId="1" type="noConversion"/>
  </si>
  <si>
    <t>今日东北产区价格稳定，厂门收购量日益减少。华北地区报价涨跌互现，库存持续消耗中，后期价格或易涨难跌。北方港口价格上涨5-10元/吨，锦州港晨间汽运到港约0.5万吨，鲅鱼圈晨间汽运到港约2.0万吨。销区方面，港口内贸库存持续下降，饲料企业采购意愿有所增强，部分预售二等新粮月底左右交货价在1950元/吨。进口玉米近期大量到货，广东港口进口玉米库存超过42万吨之多，后期可能对销区价格形成压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</si>
</sst>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8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13" fillId="38" borderId="12" xfId="0" applyNumberFormat="1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61914928"/>
        <c:axId val="-361906224"/>
      </c:lineChart>
      <c:catAx>
        <c:axId val="-3619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6224"/>
        <c:crosses val="autoZero"/>
        <c:auto val="1"/>
        <c:lblAlgn val="ctr"/>
        <c:lblOffset val="100"/>
        <c:noMultiLvlLbl val="0"/>
      </c:catAx>
      <c:valAx>
        <c:axId val="-361906224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3619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1902416"/>
        <c:axId val="-361907856"/>
      </c:lineChart>
      <c:dateAx>
        <c:axId val="-36190241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7856"/>
        <c:crosses val="autoZero"/>
        <c:auto val="1"/>
        <c:lblOffset val="100"/>
        <c:baseTimeUnit val="months"/>
      </c:dateAx>
      <c:valAx>
        <c:axId val="-3619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1907312"/>
        <c:axId val="-361913840"/>
      </c:lineChart>
      <c:dateAx>
        <c:axId val="-36190731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3840"/>
        <c:crosses val="autoZero"/>
        <c:auto val="1"/>
        <c:lblOffset val="100"/>
        <c:baseTimeUnit val="months"/>
      </c:dateAx>
      <c:valAx>
        <c:axId val="-3619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911120"/>
        <c:axId val="-361904048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913296"/>
        <c:axId val="-361903504"/>
      </c:lineChart>
      <c:dateAx>
        <c:axId val="-36191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4048"/>
        <c:crosses val="autoZero"/>
        <c:auto val="1"/>
        <c:lblOffset val="100"/>
        <c:baseTimeUnit val="days"/>
      </c:dateAx>
      <c:valAx>
        <c:axId val="-3619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1120"/>
        <c:crosses val="autoZero"/>
        <c:crossBetween val="between"/>
      </c:valAx>
      <c:valAx>
        <c:axId val="-36190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3296"/>
        <c:crosses val="max"/>
        <c:crossBetween val="between"/>
      </c:valAx>
      <c:dateAx>
        <c:axId val="-3619132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61903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08944"/>
        <c:axId val="-361902960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61916560"/>
        <c:axId val="-361901328"/>
      </c:barChart>
      <c:catAx>
        <c:axId val="-361908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2960"/>
        <c:crosses val="autoZero"/>
        <c:auto val="0"/>
        <c:lblAlgn val="ctr"/>
        <c:lblOffset val="100"/>
        <c:noMultiLvlLbl val="0"/>
      </c:catAx>
      <c:valAx>
        <c:axId val="-36190296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8944"/>
        <c:crosses val="autoZero"/>
        <c:crossBetween val="between"/>
      </c:valAx>
      <c:valAx>
        <c:axId val="-361901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6560"/>
        <c:crosses val="max"/>
        <c:crossBetween val="between"/>
      </c:valAx>
      <c:catAx>
        <c:axId val="-36191656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36190132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61912208"/>
        <c:axId val="-361911664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910576"/>
        <c:axId val="-361916016"/>
      </c:lineChart>
      <c:catAx>
        <c:axId val="-36191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1664"/>
        <c:crosses val="autoZero"/>
        <c:auto val="0"/>
        <c:lblAlgn val="ctr"/>
        <c:lblOffset val="100"/>
        <c:noMultiLvlLbl val="0"/>
      </c:catAx>
      <c:valAx>
        <c:axId val="-3619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2208"/>
        <c:crosses val="autoZero"/>
        <c:crossBetween val="between"/>
      </c:valAx>
      <c:valAx>
        <c:axId val="-36191601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0576"/>
        <c:crosses val="max"/>
        <c:crossBetween val="between"/>
      </c:valAx>
      <c:catAx>
        <c:axId val="-361910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6191601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61914384"/>
        <c:axId val="-36190840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129648"/>
        <c:axId val="-464364272"/>
      </c:lineChart>
      <c:catAx>
        <c:axId val="-36191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08400"/>
        <c:crosses val="autoZero"/>
        <c:auto val="0"/>
        <c:lblAlgn val="ctr"/>
        <c:lblOffset val="100"/>
        <c:noMultiLvlLbl val="0"/>
      </c:catAx>
      <c:valAx>
        <c:axId val="-3619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1914384"/>
        <c:crosses val="autoZero"/>
        <c:crossBetween val="between"/>
      </c:valAx>
      <c:valAx>
        <c:axId val="-46436427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29648"/>
        <c:crosses val="max"/>
        <c:crossBetween val="between"/>
      </c:valAx>
      <c:dateAx>
        <c:axId val="-177129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464364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122576"/>
        <c:axId val="-17711713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119856"/>
        <c:axId val="-177126928"/>
      </c:lineChart>
      <c:catAx>
        <c:axId val="-17712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17136"/>
        <c:crosses val="autoZero"/>
        <c:auto val="0"/>
        <c:lblAlgn val="ctr"/>
        <c:lblOffset val="100"/>
        <c:noMultiLvlLbl val="0"/>
      </c:catAx>
      <c:valAx>
        <c:axId val="-1771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22576"/>
        <c:crosses val="autoZero"/>
        <c:crossBetween val="between"/>
      </c:valAx>
      <c:valAx>
        <c:axId val="-177126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19856"/>
        <c:crosses val="max"/>
        <c:crossBetween val="between"/>
      </c:valAx>
      <c:dateAx>
        <c:axId val="-177119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7126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123664"/>
        <c:axId val="-177118224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126384"/>
        <c:axId val="-177119312"/>
      </c:lineChart>
      <c:catAx>
        <c:axId val="-17712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18224"/>
        <c:crosses val="autoZero"/>
        <c:auto val="0"/>
        <c:lblAlgn val="ctr"/>
        <c:lblOffset val="100"/>
        <c:noMultiLvlLbl val="0"/>
      </c:catAx>
      <c:valAx>
        <c:axId val="-1771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23664"/>
        <c:crosses val="autoZero"/>
        <c:crossBetween val="between"/>
      </c:valAx>
      <c:valAx>
        <c:axId val="-177119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126384"/>
        <c:crosses val="max"/>
        <c:crossBetween val="between"/>
      </c:valAx>
      <c:dateAx>
        <c:axId val="-177126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7119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53"/>
  <sheetViews>
    <sheetView workbookViewId="0">
      <pane xSplit="1" ySplit="1" topLeftCell="AU1635" activePane="bottomRight" state="frozen"/>
      <selection pane="topRight" activeCell="B1" sqref="B1"/>
      <selection pane="bottomLeft" activeCell="A2" sqref="A2"/>
      <selection pane="bottomRight" activeCell="BA1652" sqref="BA1652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153</v>
      </c>
      <c r="C1" s="134" t="s">
        <v>307</v>
      </c>
      <c r="D1" s="134" t="s">
        <v>154</v>
      </c>
      <c r="E1" s="134" t="s">
        <v>313</v>
      </c>
      <c r="F1" s="134" t="s">
        <v>155</v>
      </c>
      <c r="G1" s="134" t="s">
        <v>318</v>
      </c>
      <c r="H1" s="240" t="s">
        <v>246</v>
      </c>
      <c r="I1" s="240" t="s">
        <v>308</v>
      </c>
      <c r="J1" s="242" t="s">
        <v>247</v>
      </c>
      <c r="K1" s="242" t="s">
        <v>309</v>
      </c>
      <c r="L1" s="244" t="s">
        <v>248</v>
      </c>
      <c r="M1" s="244" t="s">
        <v>310</v>
      </c>
      <c r="N1" s="246" t="s">
        <v>300</v>
      </c>
      <c r="O1" s="246" t="s">
        <v>311</v>
      </c>
      <c r="P1" s="135" t="s">
        <v>312</v>
      </c>
      <c r="Q1" s="135" t="s">
        <v>394</v>
      </c>
      <c r="R1" s="135" t="s">
        <v>245</v>
      </c>
      <c r="S1" s="237" t="s">
        <v>305</v>
      </c>
      <c r="T1" s="173" t="s">
        <v>105</v>
      </c>
      <c r="U1" s="137" t="s">
        <v>170</v>
      </c>
      <c r="V1" s="138" t="s">
        <v>117</v>
      </c>
      <c r="W1" s="138" t="s">
        <v>314</v>
      </c>
      <c r="X1" s="138" t="s">
        <v>319</v>
      </c>
      <c r="Y1" s="136" t="s">
        <v>106</v>
      </c>
      <c r="Z1" s="137" t="s">
        <v>171</v>
      </c>
      <c r="AA1" s="138" t="s">
        <v>422</v>
      </c>
      <c r="AB1" s="138" t="s">
        <v>118</v>
      </c>
      <c r="AC1" s="138" t="s">
        <v>237</v>
      </c>
      <c r="AD1" s="138" t="s">
        <v>315</v>
      </c>
      <c r="AE1" s="138" t="s">
        <v>320</v>
      </c>
      <c r="AF1" s="136" t="s">
        <v>107</v>
      </c>
      <c r="AG1" s="136" t="s">
        <v>181</v>
      </c>
      <c r="AH1" s="138" t="s">
        <v>119</v>
      </c>
      <c r="AI1" s="136" t="s">
        <v>108</v>
      </c>
      <c r="AJ1" s="137" t="s">
        <v>172</v>
      </c>
      <c r="AK1" s="138" t="s">
        <v>120</v>
      </c>
      <c r="AL1" s="136" t="s">
        <v>109</v>
      </c>
      <c r="AM1" s="139" t="s">
        <v>165</v>
      </c>
      <c r="AN1" s="138" t="s">
        <v>35</v>
      </c>
      <c r="AO1" s="138" t="s">
        <v>253</v>
      </c>
      <c r="AP1" s="138" t="s">
        <v>258</v>
      </c>
      <c r="AQ1" s="138" t="s">
        <v>333</v>
      </c>
      <c r="AR1" s="138" t="s">
        <v>427</v>
      </c>
      <c r="AS1" s="136" t="s">
        <v>110</v>
      </c>
      <c r="AT1" s="138" t="s">
        <v>121</v>
      </c>
      <c r="AU1" s="136" t="s">
        <v>111</v>
      </c>
      <c r="AV1" s="136" t="s">
        <v>112</v>
      </c>
      <c r="AW1" s="136" t="s">
        <v>242</v>
      </c>
      <c r="AX1" s="385" t="s">
        <v>243</v>
      </c>
      <c r="AY1" s="136" t="s">
        <v>244</v>
      </c>
      <c r="AZ1" s="136" t="s">
        <v>429</v>
      </c>
      <c r="BA1" s="385" t="s">
        <v>216</v>
      </c>
      <c r="BB1" s="136" t="s">
        <v>431</v>
      </c>
      <c r="BC1" s="385" t="s">
        <v>217</v>
      </c>
      <c r="BD1" s="385" t="s">
        <v>239</v>
      </c>
      <c r="BE1" s="385" t="s">
        <v>240</v>
      </c>
      <c r="BF1" s="386" t="s">
        <v>241</v>
      </c>
      <c r="BG1" s="386" t="s">
        <v>437</v>
      </c>
      <c r="BH1" s="386" t="s">
        <v>433</v>
      </c>
      <c r="BI1" s="136" t="s">
        <v>249</v>
      </c>
      <c r="BJ1" s="136" t="s">
        <v>250</v>
      </c>
      <c r="BK1" s="136" t="s">
        <v>251</v>
      </c>
      <c r="BL1" s="136" t="s">
        <v>301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73">
        <v>1590</v>
      </c>
      <c r="V1492" s="138">
        <v>1580</v>
      </c>
      <c r="Y1492" s="136">
        <v>1560</v>
      </c>
      <c r="AB1492" s="138">
        <v>1600</v>
      </c>
      <c r="AH1492" s="138" t="s">
        <v>128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73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41"/>
      <c r="I1501" s="241"/>
      <c r="J1501" s="243"/>
      <c r="K1501" s="243"/>
      <c r="L1501" s="245"/>
      <c r="M1501" s="245"/>
      <c r="N1501" s="247"/>
      <c r="O1501" s="247"/>
      <c r="P1501" s="142"/>
      <c r="Q1501" s="142"/>
      <c r="R1501" s="142"/>
      <c r="S1501" s="238"/>
      <c r="T1501" s="239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41"/>
      <c r="I1502" s="241"/>
      <c r="J1502" s="243"/>
      <c r="K1502" s="243"/>
      <c r="L1502" s="245"/>
      <c r="M1502" s="245"/>
      <c r="N1502" s="247"/>
      <c r="O1502" s="247"/>
      <c r="P1502" s="142"/>
      <c r="Q1502" s="142"/>
      <c r="R1502" s="142"/>
      <c r="S1502" s="238"/>
      <c r="T1502" s="239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41"/>
      <c r="I1503" s="241"/>
      <c r="J1503" s="243"/>
      <c r="K1503" s="243"/>
      <c r="L1503" s="245"/>
      <c r="M1503" s="245"/>
      <c r="N1503" s="247"/>
      <c r="O1503" s="247"/>
      <c r="P1503" s="142">
        <v>63</v>
      </c>
      <c r="Q1503" s="142"/>
      <c r="R1503" s="142"/>
      <c r="S1503" s="238"/>
      <c r="T1503" s="239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41"/>
      <c r="I1504" s="241"/>
      <c r="J1504" s="243"/>
      <c r="K1504" s="243"/>
      <c r="L1504" s="245"/>
      <c r="M1504" s="245"/>
      <c r="N1504" s="247"/>
      <c r="O1504" s="247"/>
      <c r="P1504" s="142">
        <v>61</v>
      </c>
      <c r="Q1504" s="142"/>
      <c r="R1504" s="142"/>
      <c r="S1504" s="238"/>
      <c r="T1504" s="239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41"/>
      <c r="I1505" s="241"/>
      <c r="J1505" s="243"/>
      <c r="K1505" s="243"/>
      <c r="L1505" s="245"/>
      <c r="M1505" s="245"/>
      <c r="N1505" s="247"/>
      <c r="O1505" s="247"/>
      <c r="P1505" s="142"/>
      <c r="Q1505" s="142"/>
      <c r="R1505" s="142"/>
      <c r="S1505" s="238"/>
      <c r="T1505" s="239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41"/>
      <c r="I1506" s="241"/>
      <c r="J1506" s="243"/>
      <c r="K1506" s="243"/>
      <c r="L1506" s="245"/>
      <c r="M1506" s="245"/>
      <c r="N1506" s="247"/>
      <c r="O1506" s="247"/>
      <c r="P1506" s="142"/>
      <c r="Q1506" s="142"/>
      <c r="R1506" s="142"/>
      <c r="S1506" s="238"/>
      <c r="T1506" s="239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36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36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36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36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36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36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36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36"/>
      <c r="F1514" s="134">
        <v>1920</v>
      </c>
      <c r="P1514" s="135">
        <v>62</v>
      </c>
      <c r="T1514" s="173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36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36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36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36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36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73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73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73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73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40">
        <v>1950</v>
      </c>
      <c r="I1534" s="240">
        <f>H1534-P1534-C1534-90</f>
        <v>0</v>
      </c>
      <c r="J1534" s="242">
        <v>1980</v>
      </c>
      <c r="K1534" s="242">
        <f>J1534-R1534-C1534-90</f>
        <v>32</v>
      </c>
      <c r="L1534" s="244">
        <v>1950</v>
      </c>
      <c r="M1534" s="244">
        <f>L1534-Q1534-C1534-90</f>
        <v>-10</v>
      </c>
      <c r="N1534" s="246">
        <v>1920</v>
      </c>
      <c r="O1534" s="246">
        <f>N1534-S1534-C1534-90</f>
        <v>-19</v>
      </c>
      <c r="P1534" s="135">
        <v>70</v>
      </c>
      <c r="Q1534" s="135">
        <v>80</v>
      </c>
      <c r="R1534" s="135">
        <v>68</v>
      </c>
      <c r="S1534" s="237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37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40">
        <v>1970</v>
      </c>
      <c r="I1539" s="240">
        <f>H1539-P1539-C1539-90</f>
        <v>-5</v>
      </c>
      <c r="J1539" s="242">
        <v>2000</v>
      </c>
      <c r="K1539" s="242">
        <f>J1539-R1539-C1539-90</f>
        <v>27</v>
      </c>
      <c r="L1539" s="244">
        <v>1970</v>
      </c>
      <c r="M1539" s="244">
        <f>L1539-Q1539-C1539-90</f>
        <v>-15</v>
      </c>
      <c r="N1539" s="246">
        <v>1960</v>
      </c>
      <c r="O1539" s="246">
        <f>N1539-S1539-C1539-90</f>
        <v>-6</v>
      </c>
      <c r="P1539" s="135">
        <v>65</v>
      </c>
      <c r="Q1539" s="135">
        <v>75</v>
      </c>
      <c r="R1539" s="135">
        <v>63</v>
      </c>
      <c r="S1539" s="237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37">
        <v>59</v>
      </c>
      <c r="T1543" s="173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40">
        <v>1970</v>
      </c>
      <c r="I1544" s="240">
        <f>H1544-P1544-C1544-90</f>
        <v>2</v>
      </c>
      <c r="J1544" s="242">
        <v>1990</v>
      </c>
      <c r="K1544" s="242">
        <f>J1544-R1544-C1544-90</f>
        <v>24</v>
      </c>
      <c r="L1544" s="244">
        <v>1980</v>
      </c>
      <c r="M1544" s="244">
        <f>L1544-Q1544-C1544-90</f>
        <v>2</v>
      </c>
      <c r="N1544" s="246">
        <v>1960</v>
      </c>
      <c r="O1544" s="246">
        <f>N1544-S1544-C1544-90</f>
        <v>1</v>
      </c>
      <c r="P1544" s="135">
        <v>68</v>
      </c>
      <c r="Q1544" s="135">
        <v>78</v>
      </c>
      <c r="R1544" s="135">
        <v>66</v>
      </c>
      <c r="S1544" s="237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40">
        <v>1980</v>
      </c>
      <c r="I1545" s="240">
        <f t="shared" ref="I1545:I1551" si="0">H1545-P1545-C1545-90</f>
        <v>12</v>
      </c>
      <c r="J1545" s="242">
        <v>1990</v>
      </c>
      <c r="K1545" s="242">
        <f t="shared" ref="K1545:K1551" si="1">J1545-R1545-C1545-90</f>
        <v>24</v>
      </c>
      <c r="L1545" s="244">
        <v>1990</v>
      </c>
      <c r="M1545" s="244">
        <f t="shared" ref="M1545:M1551" si="2">L1545-Q1545-C1545-90</f>
        <v>12</v>
      </c>
      <c r="N1545" s="246">
        <v>1960</v>
      </c>
      <c r="O1545" s="246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37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40">
        <v>1990</v>
      </c>
      <c r="I1546" s="240">
        <f t="shared" si="0"/>
        <v>-18</v>
      </c>
      <c r="J1546" s="242">
        <v>1990</v>
      </c>
      <c r="K1546" s="242">
        <f t="shared" si="1"/>
        <v>-16</v>
      </c>
      <c r="L1546" s="244">
        <v>1990</v>
      </c>
      <c r="M1546" s="244">
        <f t="shared" si="2"/>
        <v>-28</v>
      </c>
      <c r="N1546" s="246">
        <v>1980</v>
      </c>
      <c r="O1546" s="246">
        <f t="shared" si="3"/>
        <v>-19</v>
      </c>
      <c r="P1546" s="135">
        <v>68</v>
      </c>
      <c r="Q1546" s="135">
        <v>78</v>
      </c>
      <c r="R1546" s="135">
        <v>66</v>
      </c>
      <c r="S1546" s="237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40">
        <v>1990</v>
      </c>
      <c r="I1547" s="240">
        <f t="shared" si="0"/>
        <v>-18</v>
      </c>
      <c r="J1547" s="242">
        <v>1990</v>
      </c>
      <c r="K1547" s="242">
        <f t="shared" si="1"/>
        <v>-16</v>
      </c>
      <c r="L1547" s="244">
        <v>1990</v>
      </c>
      <c r="M1547" s="244">
        <f t="shared" si="2"/>
        <v>-28</v>
      </c>
      <c r="N1547" s="246">
        <v>1980</v>
      </c>
      <c r="O1547" s="246">
        <f t="shared" si="3"/>
        <v>-19</v>
      </c>
      <c r="P1547" s="135">
        <v>68</v>
      </c>
      <c r="Q1547" s="135">
        <v>78</v>
      </c>
      <c r="R1547" s="135">
        <v>66</v>
      </c>
      <c r="S1547" s="237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40">
        <v>1990</v>
      </c>
      <c r="I1548" s="240">
        <f t="shared" si="0"/>
        <v>-16</v>
      </c>
      <c r="J1548" s="242">
        <v>2000</v>
      </c>
      <c r="K1548" s="242">
        <f t="shared" si="1"/>
        <v>-4</v>
      </c>
      <c r="L1548" s="244">
        <v>2000</v>
      </c>
      <c r="M1548" s="244">
        <f t="shared" si="2"/>
        <v>-16</v>
      </c>
      <c r="N1548" s="246">
        <v>1990</v>
      </c>
      <c r="O1548" s="246">
        <f t="shared" si="3"/>
        <v>-9</v>
      </c>
      <c r="P1548" s="135">
        <v>66</v>
      </c>
      <c r="Q1548" s="135">
        <v>76</v>
      </c>
      <c r="R1548" s="135">
        <v>64</v>
      </c>
      <c r="S1548" s="237">
        <v>59</v>
      </c>
      <c r="T1548" s="173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40">
        <v>1990</v>
      </c>
      <c r="I1549" s="240">
        <f t="shared" si="0"/>
        <v>-26</v>
      </c>
      <c r="J1549" s="242">
        <v>2000</v>
      </c>
      <c r="K1549" s="242">
        <f t="shared" si="1"/>
        <v>-14</v>
      </c>
      <c r="L1549" s="244">
        <v>2000</v>
      </c>
      <c r="M1549" s="244">
        <f t="shared" si="2"/>
        <v>-26</v>
      </c>
      <c r="N1549" s="246">
        <v>1990</v>
      </c>
      <c r="O1549" s="246">
        <f t="shared" si="3"/>
        <v>-19</v>
      </c>
      <c r="P1549" s="135">
        <v>66</v>
      </c>
      <c r="Q1549" s="135">
        <v>76</v>
      </c>
      <c r="R1549" s="135">
        <v>64</v>
      </c>
      <c r="S1549" s="237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40">
        <v>1990</v>
      </c>
      <c r="I1550" s="240">
        <f t="shared" si="0"/>
        <v>-26</v>
      </c>
      <c r="J1550" s="242">
        <v>2000</v>
      </c>
      <c r="K1550" s="242">
        <f t="shared" si="1"/>
        <v>-14</v>
      </c>
      <c r="L1550" s="244">
        <v>2000</v>
      </c>
      <c r="M1550" s="244">
        <f t="shared" si="2"/>
        <v>-26</v>
      </c>
      <c r="N1550" s="246">
        <v>1980</v>
      </c>
      <c r="O1550" s="246">
        <f t="shared" si="3"/>
        <v>-29</v>
      </c>
      <c r="P1550" s="135">
        <v>66</v>
      </c>
      <c r="Q1550" s="135">
        <v>76</v>
      </c>
      <c r="R1550" s="135">
        <v>64</v>
      </c>
      <c r="S1550" s="237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40">
        <v>1990</v>
      </c>
      <c r="I1551" s="240">
        <f t="shared" si="0"/>
        <v>-26</v>
      </c>
      <c r="J1551" s="242">
        <v>2000</v>
      </c>
      <c r="K1551" s="242">
        <f t="shared" si="1"/>
        <v>-14</v>
      </c>
      <c r="L1551" s="244">
        <v>2000</v>
      </c>
      <c r="M1551" s="244">
        <f t="shared" si="2"/>
        <v>-26</v>
      </c>
      <c r="N1551" s="246">
        <v>1980</v>
      </c>
      <c r="O1551" s="246">
        <f t="shared" si="3"/>
        <v>-29</v>
      </c>
      <c r="P1551" s="135">
        <v>66</v>
      </c>
      <c r="Q1551" s="135">
        <v>76</v>
      </c>
      <c r="R1551" s="135">
        <v>64</v>
      </c>
      <c r="S1551" s="237">
        <v>59</v>
      </c>
      <c r="T1551" s="173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40">
        <v>1990</v>
      </c>
      <c r="I1552" s="240">
        <f t="shared" ref="I1552" si="4">H1552-P1552-C1552-90</f>
        <v>-26</v>
      </c>
      <c r="J1552" s="242">
        <v>2000</v>
      </c>
      <c r="K1552" s="242">
        <f t="shared" ref="K1552" si="5">J1552-R1552-C1552-90</f>
        <v>-14</v>
      </c>
      <c r="L1552" s="244">
        <v>2000</v>
      </c>
      <c r="M1552" s="244">
        <f t="shared" ref="M1552" si="6">L1552-Q1552-C1552-90</f>
        <v>-26</v>
      </c>
      <c r="N1552" s="246">
        <v>1980</v>
      </c>
      <c r="O1552" s="246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37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40">
        <v>1990</v>
      </c>
      <c r="I1553" s="240">
        <f t="shared" ref="I1553" si="8">H1553-P1553-C1553-90</f>
        <v>-23</v>
      </c>
      <c r="J1553" s="242">
        <v>2000</v>
      </c>
      <c r="K1553" s="242">
        <f t="shared" ref="K1553" si="9">J1553-R1553-C1553-90</f>
        <v>-11</v>
      </c>
      <c r="L1553" s="244">
        <v>2000</v>
      </c>
      <c r="M1553" s="244">
        <f t="shared" ref="M1553" si="10">L1553-Q1553-C1553-90</f>
        <v>-23</v>
      </c>
      <c r="N1553" s="246">
        <v>1980</v>
      </c>
      <c r="O1553" s="246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37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40">
        <v>1990</v>
      </c>
      <c r="I1554" s="240">
        <f t="shared" ref="I1554" si="12">H1554-P1554-C1554-90</f>
        <v>-23</v>
      </c>
      <c r="J1554" s="242">
        <v>2000</v>
      </c>
      <c r="K1554" s="242">
        <f t="shared" ref="K1554" si="13">J1554-R1554-C1554-90</f>
        <v>-11</v>
      </c>
      <c r="L1554" s="244">
        <v>2000</v>
      </c>
      <c r="M1554" s="244">
        <f t="shared" ref="M1554" si="14">L1554-Q1554-C1554-90</f>
        <v>-23</v>
      </c>
      <c r="N1554" s="246">
        <v>1980</v>
      </c>
      <c r="O1554" s="246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37">
        <v>56</v>
      </c>
      <c r="T1554" s="173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40">
        <v>1990</v>
      </c>
      <c r="I1555" s="240">
        <f t="shared" ref="I1555" si="16">H1555-P1555-C1555-90</f>
        <v>-23</v>
      </c>
      <c r="J1555" s="242">
        <v>2010</v>
      </c>
      <c r="K1555" s="242">
        <f t="shared" ref="K1555" si="17">J1555-R1555-C1555-90</f>
        <v>-1</v>
      </c>
      <c r="L1555" s="244">
        <v>2010</v>
      </c>
      <c r="M1555" s="244">
        <f t="shared" ref="M1555" si="18">L1555-Q1555-C1555-90</f>
        <v>-13</v>
      </c>
      <c r="N1555" s="246">
        <v>1990</v>
      </c>
      <c r="O1555" s="246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37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40">
        <v>2010</v>
      </c>
      <c r="I1556" s="240">
        <f t="shared" ref="I1556" si="20">H1556-P1556-C1556-90</f>
        <v>-3</v>
      </c>
      <c r="J1556" s="242">
        <v>2010</v>
      </c>
      <c r="K1556" s="242">
        <f t="shared" ref="K1556" si="21">J1556-R1556-C1556-90</f>
        <v>-1</v>
      </c>
      <c r="L1556" s="244">
        <v>2030</v>
      </c>
      <c r="M1556" s="244">
        <f t="shared" ref="M1556" si="22">L1556-Q1556-C1556-90</f>
        <v>7</v>
      </c>
      <c r="N1556" s="246">
        <v>1990</v>
      </c>
      <c r="O1556" s="246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37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40">
        <v>2010</v>
      </c>
      <c r="I1557" s="240">
        <f t="shared" ref="I1557" si="24">H1557-P1557-C1557-90</f>
        <v>-3</v>
      </c>
      <c r="J1557" s="242">
        <v>2010</v>
      </c>
      <c r="K1557" s="242">
        <f t="shared" ref="K1557" si="25">J1557-R1557-C1557-90</f>
        <v>-1</v>
      </c>
      <c r="L1557" s="244">
        <v>2030</v>
      </c>
      <c r="M1557" s="244">
        <f t="shared" ref="M1557" si="26">L1557-Q1557-C1557-90</f>
        <v>7</v>
      </c>
      <c r="N1557" s="246">
        <v>2000</v>
      </c>
      <c r="O1557" s="246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37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40">
        <v>2020</v>
      </c>
      <c r="I1558" s="240">
        <f t="shared" ref="I1558" si="28">H1558-P1558-C1558-90</f>
        <v>12</v>
      </c>
      <c r="J1558" s="242">
        <v>2010</v>
      </c>
      <c r="K1558" s="242">
        <f t="shared" ref="K1558" si="29">J1558-R1558-C1558-90</f>
        <v>4</v>
      </c>
      <c r="L1558" s="244">
        <v>2030</v>
      </c>
      <c r="M1558" s="244">
        <f t="shared" ref="M1558" si="30">L1558-Q1558-C1558-90</f>
        <v>12</v>
      </c>
      <c r="N1558" s="246">
        <v>2000</v>
      </c>
      <c r="O1558" s="246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37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40">
        <v>2020</v>
      </c>
      <c r="I1559" s="240">
        <f t="shared" ref="I1559" si="32">H1559-P1559-C1559-90</f>
        <v>12</v>
      </c>
      <c r="J1559" s="242">
        <v>2020</v>
      </c>
      <c r="K1559" s="242">
        <f t="shared" ref="K1559" si="33">J1559-R1559-C1559-90</f>
        <v>14</v>
      </c>
      <c r="L1559" s="244">
        <v>2040</v>
      </c>
      <c r="M1559" s="244">
        <f t="shared" ref="M1559" si="34">L1559-Q1559-C1559-90</f>
        <v>22</v>
      </c>
      <c r="N1559" s="246">
        <v>2010</v>
      </c>
      <c r="O1559" s="246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37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40">
        <v>2030</v>
      </c>
      <c r="I1560" s="240">
        <f t="shared" ref="I1560" si="36">H1560-P1560-C1560-90</f>
        <v>22</v>
      </c>
      <c r="J1560" s="242">
        <v>2030</v>
      </c>
      <c r="K1560" s="242">
        <f t="shared" ref="K1560" si="37">J1560-R1560-C1560-90</f>
        <v>24</v>
      </c>
      <c r="L1560" s="244">
        <v>2040</v>
      </c>
      <c r="M1560" s="244">
        <f t="shared" ref="M1560" si="38">L1560-Q1560-C1560-90</f>
        <v>22</v>
      </c>
      <c r="N1560" s="246">
        <v>2010</v>
      </c>
      <c r="O1560" s="246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37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40">
        <v>2010</v>
      </c>
      <c r="I1561" s="240">
        <f t="shared" ref="I1561" si="40">H1561-P1561-C1561-90</f>
        <v>2</v>
      </c>
      <c r="J1561" s="242">
        <v>2020</v>
      </c>
      <c r="K1561" s="242">
        <f t="shared" ref="K1561" si="41">J1561-R1561-C1561-90</f>
        <v>14</v>
      </c>
      <c r="L1561" s="244">
        <v>2040</v>
      </c>
      <c r="M1561" s="244">
        <f t="shared" ref="M1561" si="42">L1561-Q1561-C1561-90</f>
        <v>22</v>
      </c>
      <c r="N1561" s="246">
        <v>2010</v>
      </c>
      <c r="O1561" s="246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37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40">
        <v>2010</v>
      </c>
      <c r="I1562" s="240">
        <f t="shared" ref="I1562" si="44">H1562-P1562-C1562-90</f>
        <v>2</v>
      </c>
      <c r="J1562" s="242">
        <v>2010</v>
      </c>
      <c r="K1562" s="242">
        <f t="shared" ref="K1562" si="45">J1562-R1562-C1562-90</f>
        <v>4</v>
      </c>
      <c r="L1562" s="244">
        <v>2040</v>
      </c>
      <c r="M1562" s="244">
        <f t="shared" ref="M1562" si="46">L1562-Q1562-C1562-90</f>
        <v>22</v>
      </c>
      <c r="N1562" s="246">
        <v>1990</v>
      </c>
      <c r="O1562" s="246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37">
        <v>54</v>
      </c>
      <c r="T1562" s="173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40">
        <v>2000</v>
      </c>
      <c r="I1563" s="240">
        <f t="shared" ref="I1563" si="48">H1563-P1563-C1563-90</f>
        <v>15</v>
      </c>
      <c r="J1563" s="242">
        <v>2010</v>
      </c>
      <c r="K1563" s="242">
        <f t="shared" ref="K1563" si="49">J1563-R1563-C1563-90</f>
        <v>27</v>
      </c>
      <c r="L1563" s="244">
        <v>2030</v>
      </c>
      <c r="M1563" s="244">
        <f t="shared" ref="M1563" si="50">L1563-Q1563-C1563-90</f>
        <v>35</v>
      </c>
      <c r="N1563" s="246">
        <v>1990</v>
      </c>
      <c r="O1563" s="246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37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40">
        <v>2000</v>
      </c>
      <c r="I1564" s="240">
        <f t="shared" ref="I1564" si="52">H1564-P1564-C1564-90</f>
        <v>15</v>
      </c>
      <c r="J1564" s="242">
        <v>2010</v>
      </c>
      <c r="K1564" s="242">
        <f t="shared" ref="K1564" si="53">J1564-R1564-C1564-90</f>
        <v>27</v>
      </c>
      <c r="L1564" s="244">
        <v>2030</v>
      </c>
      <c r="M1564" s="244">
        <f t="shared" ref="M1564" si="54">L1564-Q1564-C1564-90</f>
        <v>35</v>
      </c>
      <c r="N1564" s="246">
        <v>1990</v>
      </c>
      <c r="O1564" s="246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37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40">
        <v>1990</v>
      </c>
      <c r="I1565" s="240">
        <f t="shared" ref="I1565" si="56">H1565-P1565-C1565-90</f>
        <v>5</v>
      </c>
      <c r="J1565" s="242">
        <v>2010</v>
      </c>
      <c r="K1565" s="242">
        <f t="shared" ref="K1565" si="57">J1565-R1565-C1565-90</f>
        <v>27</v>
      </c>
      <c r="L1565" s="244">
        <v>2020</v>
      </c>
      <c r="M1565" s="244">
        <f t="shared" ref="M1565" si="58">L1565-Q1565-C1565-90</f>
        <v>25</v>
      </c>
      <c r="N1565" s="246">
        <v>1990</v>
      </c>
      <c r="O1565" s="246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37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40">
        <v>1990</v>
      </c>
      <c r="I1566" s="240">
        <f t="shared" ref="I1566" si="60">H1566-P1566-C1566-90</f>
        <v>5</v>
      </c>
      <c r="J1566" s="242">
        <v>2010</v>
      </c>
      <c r="K1566" s="242">
        <f t="shared" ref="K1566" si="61">J1566-R1566-C1566-90</f>
        <v>27</v>
      </c>
      <c r="L1566" s="244">
        <v>2020</v>
      </c>
      <c r="M1566" s="244">
        <f t="shared" ref="M1566" si="62">L1566-Q1566-C1566-90</f>
        <v>25</v>
      </c>
      <c r="N1566" s="246">
        <v>1990</v>
      </c>
      <c r="O1566" s="246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37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40">
        <v>1990</v>
      </c>
      <c r="I1567" s="240">
        <f t="shared" ref="I1567" si="64">H1567-P1567-C1567-90</f>
        <v>5</v>
      </c>
      <c r="J1567" s="242">
        <v>2010</v>
      </c>
      <c r="K1567" s="242">
        <f t="shared" ref="K1567" si="65">J1567-R1567-C1567-90</f>
        <v>27</v>
      </c>
      <c r="L1567" s="244">
        <v>2020</v>
      </c>
      <c r="M1567" s="244">
        <f t="shared" ref="M1567" si="66">L1567-Q1567-C1567-90</f>
        <v>25</v>
      </c>
      <c r="N1567" s="246">
        <v>1990</v>
      </c>
      <c r="O1567" s="246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37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40">
        <v>1990</v>
      </c>
      <c r="I1568" s="240">
        <f t="shared" ref="I1568" si="68">H1568-P1568-C1568-90</f>
        <v>8</v>
      </c>
      <c r="J1568" s="242">
        <v>2010</v>
      </c>
      <c r="K1568" s="242">
        <f t="shared" ref="K1568" si="69">J1568-R1568-C1568-90</f>
        <v>28</v>
      </c>
      <c r="L1568" s="244">
        <v>2020</v>
      </c>
      <c r="M1568" s="244">
        <f t="shared" ref="M1568" si="70">L1568-Q1568-C1568-90</f>
        <v>28</v>
      </c>
      <c r="N1568" s="246">
        <v>1990</v>
      </c>
      <c r="O1568" s="246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37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40">
        <v>2000</v>
      </c>
      <c r="I1569" s="240">
        <f t="shared" ref="I1569" si="72">H1569-P1569-C1569-90</f>
        <v>18</v>
      </c>
      <c r="J1569" s="242">
        <v>2010</v>
      </c>
      <c r="K1569" s="242">
        <f t="shared" ref="K1569" si="73">J1569-R1569-C1569-90</f>
        <v>28</v>
      </c>
      <c r="L1569" s="244">
        <v>2020</v>
      </c>
      <c r="M1569" s="244">
        <f t="shared" ref="M1569" si="74">L1569-Q1569-C1569-90</f>
        <v>28</v>
      </c>
      <c r="N1569" s="246">
        <v>1990</v>
      </c>
      <c r="O1569" s="246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37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40">
        <v>2000</v>
      </c>
      <c r="I1570" s="240">
        <f t="shared" ref="I1570" si="76">H1570-P1570-C1570-90</f>
        <v>-2</v>
      </c>
      <c r="J1570" s="242">
        <v>2010</v>
      </c>
      <c r="K1570" s="242">
        <f t="shared" ref="K1570" si="77">J1570-R1570-C1570-90</f>
        <v>8</v>
      </c>
      <c r="L1570" s="244">
        <v>2010</v>
      </c>
      <c r="M1570" s="244">
        <f t="shared" ref="M1570" si="78">L1570-Q1570-C1570-90</f>
        <v>-2</v>
      </c>
      <c r="N1570" s="246">
        <v>1990</v>
      </c>
      <c r="O1570" s="246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37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40">
        <v>2000</v>
      </c>
      <c r="I1571" s="240">
        <f t="shared" ref="I1571:I1572" si="80">H1571-P1571-C1571-90</f>
        <v>-2</v>
      </c>
      <c r="J1571" s="242">
        <v>2000</v>
      </c>
      <c r="K1571" s="242">
        <f t="shared" ref="K1571:K1572" si="81">J1571-R1571-C1571-90</f>
        <v>-2</v>
      </c>
      <c r="L1571" s="244">
        <v>2010</v>
      </c>
      <c r="M1571" s="244">
        <f t="shared" ref="M1571:M1572" si="82">L1571-Q1571-C1571-90</f>
        <v>-2</v>
      </c>
      <c r="N1571" s="246">
        <v>1990</v>
      </c>
      <c r="O1571" s="246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37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40">
        <v>2000</v>
      </c>
      <c r="I1572" s="240">
        <f t="shared" si="80"/>
        <v>-2</v>
      </c>
      <c r="J1572" s="242">
        <v>2000</v>
      </c>
      <c r="K1572" s="242">
        <f t="shared" si="81"/>
        <v>-2</v>
      </c>
      <c r="L1572" s="244">
        <v>2010</v>
      </c>
      <c r="M1572" s="244">
        <f t="shared" si="82"/>
        <v>-2</v>
      </c>
      <c r="N1572" s="246">
        <v>1980</v>
      </c>
      <c r="O1572" s="246">
        <f t="shared" si="83"/>
        <v>-17</v>
      </c>
      <c r="P1572" s="135">
        <v>52</v>
      </c>
      <c r="Q1572" s="135">
        <v>62</v>
      </c>
      <c r="R1572" s="135">
        <v>52</v>
      </c>
      <c r="S1572" s="237">
        <v>47</v>
      </c>
      <c r="T1572" s="173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40">
        <v>1990</v>
      </c>
      <c r="I1573" s="240">
        <f t="shared" ref="I1573" si="84">H1573-P1573-C1573-90</f>
        <v>-2</v>
      </c>
      <c r="J1573" s="242">
        <v>2000</v>
      </c>
      <c r="K1573" s="242">
        <f t="shared" ref="K1573" si="85">J1573-R1573-C1573-90</f>
        <v>10</v>
      </c>
      <c r="L1573" s="244">
        <v>2000</v>
      </c>
      <c r="M1573" s="244">
        <f t="shared" ref="M1573" si="86">L1573-Q1573-C1573-90</f>
        <v>-2</v>
      </c>
      <c r="N1573" s="246">
        <v>1980</v>
      </c>
      <c r="O1573" s="246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37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40">
        <v>1970</v>
      </c>
      <c r="I1574" s="240">
        <f t="shared" ref="I1574" si="88">H1574-P1574-C1574-90</f>
        <v>-22</v>
      </c>
      <c r="J1574" s="242">
        <v>1990</v>
      </c>
      <c r="K1574" s="242">
        <f t="shared" ref="K1574" si="89">J1574-R1574-C1574-90</f>
        <v>0</v>
      </c>
      <c r="L1574" s="244">
        <v>1990</v>
      </c>
      <c r="M1574" s="244">
        <f t="shared" ref="M1574" si="90">L1574-Q1574-C1574-90</f>
        <v>-12</v>
      </c>
      <c r="N1574" s="246">
        <v>1980</v>
      </c>
      <c r="O1574" s="246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37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40">
        <v>1950</v>
      </c>
      <c r="I1575" s="240">
        <f t="shared" ref="I1575" si="92">H1575-P1575-C1575-90</f>
        <v>-12</v>
      </c>
      <c r="J1575" s="242">
        <v>1980</v>
      </c>
      <c r="K1575" s="242">
        <f t="shared" ref="K1575" si="93">J1575-R1575-C1575-90</f>
        <v>20</v>
      </c>
      <c r="L1575" s="244">
        <v>1990</v>
      </c>
      <c r="M1575" s="244">
        <f t="shared" ref="M1575" si="94">L1575-Q1575-C1575-90</f>
        <v>18</v>
      </c>
      <c r="N1575" s="246">
        <v>1960</v>
      </c>
      <c r="O1575" s="246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37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40">
        <v>1950</v>
      </c>
      <c r="I1576" s="240">
        <f t="shared" ref="I1576" si="96">H1576-P1576-C1576-90</f>
        <v>-12</v>
      </c>
      <c r="J1576" s="242">
        <v>1980</v>
      </c>
      <c r="K1576" s="242">
        <f t="shared" ref="K1576" si="97">J1576-R1576-C1576-90</f>
        <v>20</v>
      </c>
      <c r="L1576" s="244">
        <v>1980</v>
      </c>
      <c r="M1576" s="244">
        <f t="shared" ref="M1576" si="98">L1576-Q1576-C1576-90</f>
        <v>8</v>
      </c>
      <c r="N1576" s="246">
        <v>1960</v>
      </c>
      <c r="O1576" s="246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37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40">
        <v>1950</v>
      </c>
      <c r="I1577" s="240">
        <f t="shared" ref="I1577" si="100">H1577-P1577-C1577-90</f>
        <v>-12</v>
      </c>
      <c r="J1577" s="242">
        <v>1970</v>
      </c>
      <c r="K1577" s="242">
        <f t="shared" ref="K1577" si="101">J1577-R1577-C1577-90</f>
        <v>10</v>
      </c>
      <c r="L1577" s="244">
        <v>1980</v>
      </c>
      <c r="M1577" s="244">
        <f t="shared" ref="M1577" si="102">L1577-Q1577-C1577-90</f>
        <v>8</v>
      </c>
      <c r="N1577" s="246">
        <v>1960</v>
      </c>
      <c r="O1577" s="246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37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40">
        <v>1950</v>
      </c>
      <c r="I1578" s="240">
        <f t="shared" ref="I1578" si="104">H1578-P1578-C1578-90</f>
        <v>-12</v>
      </c>
      <c r="J1578" s="242">
        <v>1980</v>
      </c>
      <c r="K1578" s="242">
        <f t="shared" ref="K1578" si="105">J1578-R1578-C1578-90</f>
        <v>20</v>
      </c>
      <c r="L1578" s="244">
        <v>1980</v>
      </c>
      <c r="M1578" s="244">
        <f t="shared" ref="M1578" si="106">L1578-Q1578-C1578-90</f>
        <v>8</v>
      </c>
      <c r="N1578" s="246">
        <v>1950</v>
      </c>
      <c r="O1578" s="246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37">
        <v>47</v>
      </c>
      <c r="T1578" s="173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40">
        <v>1950</v>
      </c>
      <c r="I1579" s="240">
        <f t="shared" ref="I1579" si="108">H1579-P1579-C1579-90</f>
        <v>-12</v>
      </c>
      <c r="J1579" s="242">
        <v>1980</v>
      </c>
      <c r="K1579" s="242">
        <f t="shared" ref="K1579" si="109">J1579-R1579-C1579-90</f>
        <v>20</v>
      </c>
      <c r="L1579" s="244">
        <v>1970</v>
      </c>
      <c r="M1579" s="244">
        <f t="shared" ref="M1579" si="110">L1579-Q1579-C1579-90</f>
        <v>-2</v>
      </c>
      <c r="N1579" s="246">
        <v>1960</v>
      </c>
      <c r="O1579" s="246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37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40">
        <v>1960</v>
      </c>
      <c r="I1580" s="240">
        <f t="shared" ref="I1580:I1585" si="112">H1580-P1580-B1580-90</f>
        <v>-22</v>
      </c>
      <c r="J1580" s="242">
        <v>1980</v>
      </c>
      <c r="K1580" s="242">
        <f t="shared" ref="K1580:K1585" si="113">J1580-R1580-B1580-90</f>
        <v>0</v>
      </c>
      <c r="L1580" s="244">
        <v>1970</v>
      </c>
      <c r="M1580" s="244">
        <f t="shared" ref="M1580:M1585" si="114">L1580-Q1580-B1580-90</f>
        <v>-22</v>
      </c>
      <c r="N1580" s="246">
        <v>1970</v>
      </c>
      <c r="O1580" s="246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37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40">
        <v>1960</v>
      </c>
      <c r="I1581" s="240">
        <f t="shared" si="112"/>
        <v>-22</v>
      </c>
      <c r="J1581" s="242">
        <v>1980</v>
      </c>
      <c r="K1581" s="242">
        <f t="shared" si="113"/>
        <v>0</v>
      </c>
      <c r="L1581" s="244">
        <v>1970</v>
      </c>
      <c r="M1581" s="244">
        <f t="shared" si="114"/>
        <v>-22</v>
      </c>
      <c r="N1581" s="246">
        <v>1960</v>
      </c>
      <c r="O1581" s="246">
        <f t="shared" si="115"/>
        <v>-17</v>
      </c>
      <c r="P1581" s="135">
        <v>52</v>
      </c>
      <c r="Q1581" s="135">
        <v>62</v>
      </c>
      <c r="R1581" s="135">
        <v>50</v>
      </c>
      <c r="S1581" s="237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40">
        <v>1990</v>
      </c>
      <c r="I1582" s="240">
        <f t="shared" si="112"/>
        <v>-2</v>
      </c>
      <c r="J1582" s="242">
        <v>2000</v>
      </c>
      <c r="K1582" s="242">
        <f t="shared" si="113"/>
        <v>10</v>
      </c>
      <c r="L1582" s="244">
        <v>1990</v>
      </c>
      <c r="M1582" s="244">
        <f t="shared" si="114"/>
        <v>-12</v>
      </c>
      <c r="N1582" s="246">
        <v>1980</v>
      </c>
      <c r="O1582" s="246">
        <f t="shared" si="115"/>
        <v>-7</v>
      </c>
      <c r="P1582" s="135">
        <v>52</v>
      </c>
      <c r="Q1582" s="135">
        <v>62</v>
      </c>
      <c r="R1582" s="135">
        <v>50</v>
      </c>
      <c r="S1582" s="237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40">
        <v>1990</v>
      </c>
      <c r="I1583" s="240">
        <f t="shared" si="112"/>
        <v>-2</v>
      </c>
      <c r="J1583" s="242">
        <v>2000</v>
      </c>
      <c r="K1583" s="242">
        <f t="shared" si="113"/>
        <v>10</v>
      </c>
      <c r="L1583" s="244">
        <v>1990</v>
      </c>
      <c r="M1583" s="244">
        <f t="shared" si="114"/>
        <v>-12</v>
      </c>
      <c r="N1583" s="246">
        <v>1980</v>
      </c>
      <c r="O1583" s="246">
        <f t="shared" si="115"/>
        <v>-7</v>
      </c>
      <c r="P1583" s="135">
        <v>52</v>
      </c>
      <c r="Q1583" s="135">
        <v>62</v>
      </c>
      <c r="R1583" s="135">
        <v>50</v>
      </c>
      <c r="S1583" s="237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40">
        <v>1990</v>
      </c>
      <c r="I1584" s="240">
        <f t="shared" si="112"/>
        <v>8</v>
      </c>
      <c r="J1584" s="242">
        <v>2000</v>
      </c>
      <c r="K1584" s="242">
        <f t="shared" si="113"/>
        <v>20</v>
      </c>
      <c r="L1584" s="244">
        <v>1990</v>
      </c>
      <c r="M1584" s="244">
        <f t="shared" si="114"/>
        <v>-2</v>
      </c>
      <c r="N1584" s="246">
        <v>1970</v>
      </c>
      <c r="O1584" s="246">
        <f t="shared" si="115"/>
        <v>-7</v>
      </c>
      <c r="P1584" s="135">
        <v>52</v>
      </c>
      <c r="Q1584" s="135">
        <v>62</v>
      </c>
      <c r="R1584" s="135">
        <v>50</v>
      </c>
      <c r="S1584" s="237">
        <v>47</v>
      </c>
      <c r="T1584" s="173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40">
        <v>1990</v>
      </c>
      <c r="I1585" s="240">
        <f t="shared" si="112"/>
        <v>8</v>
      </c>
      <c r="J1585" s="242">
        <v>2000</v>
      </c>
      <c r="K1585" s="242">
        <f t="shared" si="113"/>
        <v>20</v>
      </c>
      <c r="L1585" s="244">
        <v>2010</v>
      </c>
      <c r="M1585" s="244">
        <f t="shared" si="114"/>
        <v>18</v>
      </c>
      <c r="N1585" s="246">
        <v>1970</v>
      </c>
      <c r="O1585" s="246">
        <f t="shared" si="115"/>
        <v>-7</v>
      </c>
      <c r="P1585" s="135">
        <v>52</v>
      </c>
      <c r="Q1585" s="135">
        <v>62</v>
      </c>
      <c r="R1585" s="135">
        <v>50</v>
      </c>
      <c r="S1585" s="237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40">
        <v>1990</v>
      </c>
      <c r="I1586" s="240">
        <f t="shared" ref="I1586" si="116">H1586-P1586-B1586-90</f>
        <v>18</v>
      </c>
      <c r="J1586" s="242">
        <v>2000</v>
      </c>
      <c r="K1586" s="242">
        <f t="shared" ref="K1586" si="117">J1586-R1586-B1586-90</f>
        <v>30</v>
      </c>
      <c r="L1586" s="244">
        <v>2010</v>
      </c>
      <c r="M1586" s="244">
        <f t="shared" ref="M1586" si="118">L1586-Q1586-B1586-90</f>
        <v>28</v>
      </c>
      <c r="N1586" s="246">
        <v>1970</v>
      </c>
      <c r="O1586" s="246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37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40">
        <v>1980</v>
      </c>
      <c r="I1587" s="240">
        <f t="shared" ref="I1587" si="120">H1587-P1587-B1587-90</f>
        <v>8</v>
      </c>
      <c r="J1587" s="242">
        <v>2000</v>
      </c>
      <c r="K1587" s="242">
        <f t="shared" ref="K1587" si="121">J1587-R1587-B1587-90</f>
        <v>30</v>
      </c>
      <c r="L1587" s="244">
        <v>2010</v>
      </c>
      <c r="M1587" s="244">
        <f t="shared" ref="M1587" si="122">L1587-Q1587-B1587-90</f>
        <v>28</v>
      </c>
      <c r="N1587" s="246">
        <v>1970</v>
      </c>
      <c r="O1587" s="246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37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40">
        <v>1980</v>
      </c>
      <c r="I1588" s="240">
        <f t="shared" ref="I1588" si="124">H1588-P1588-B1588-90</f>
        <v>18</v>
      </c>
      <c r="J1588" s="242">
        <v>2000</v>
      </c>
      <c r="K1588" s="242">
        <f t="shared" ref="K1588" si="125">J1588-R1588-B1588-90</f>
        <v>40</v>
      </c>
      <c r="L1588" s="244">
        <v>2000</v>
      </c>
      <c r="M1588" s="244">
        <f t="shared" ref="M1588" si="126">L1588-Q1588-B1588-90</f>
        <v>28</v>
      </c>
      <c r="N1588" s="246">
        <v>1960</v>
      </c>
      <c r="O1588" s="246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37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40">
        <v>1970</v>
      </c>
      <c r="I1589" s="240">
        <f t="shared" ref="I1589" si="128">H1589-P1589-B1589-90</f>
        <v>13</v>
      </c>
      <c r="J1589" s="242">
        <v>1990</v>
      </c>
      <c r="K1589" s="242">
        <f t="shared" ref="K1589" si="129">J1589-R1589-B1589-90</f>
        <v>35</v>
      </c>
      <c r="L1589" s="244">
        <v>1990</v>
      </c>
      <c r="M1589" s="244">
        <f t="shared" ref="M1589" si="130">L1589-Q1589-B1589-90</f>
        <v>23</v>
      </c>
      <c r="N1589" s="246">
        <v>1960</v>
      </c>
      <c r="O1589" s="246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37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40">
        <v>1970</v>
      </c>
      <c r="I1590" s="240">
        <f t="shared" ref="I1590" si="132">H1590-P1590-B1590-90</f>
        <v>13</v>
      </c>
      <c r="J1590" s="242">
        <v>1990</v>
      </c>
      <c r="K1590" s="242">
        <f t="shared" ref="K1590" si="133">J1590-R1590-B1590-90</f>
        <v>35</v>
      </c>
      <c r="L1590" s="244">
        <v>1980</v>
      </c>
      <c r="M1590" s="244">
        <f t="shared" ref="M1590" si="134">L1590-Q1590-B1590-90</f>
        <v>13</v>
      </c>
      <c r="N1590" s="246">
        <v>1960</v>
      </c>
      <c r="O1590" s="246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37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40">
        <v>1970</v>
      </c>
      <c r="I1591" s="240">
        <f t="shared" ref="I1591" si="136">H1591-P1591-B1591-90</f>
        <v>11</v>
      </c>
      <c r="J1591" s="242">
        <v>1990</v>
      </c>
      <c r="K1591" s="242">
        <f t="shared" ref="K1591" si="137">J1591-R1591-B1591-90</f>
        <v>33</v>
      </c>
      <c r="L1591" s="244">
        <v>1980</v>
      </c>
      <c r="M1591" s="244">
        <f t="shared" ref="M1591" si="138">L1591-Q1591-B1591-90</f>
        <v>11</v>
      </c>
      <c r="N1591" s="246">
        <v>1940</v>
      </c>
      <c r="O1591" s="246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37">
        <v>39</v>
      </c>
      <c r="T1591" s="173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40">
        <v>1970</v>
      </c>
      <c r="I1592" s="240">
        <f t="shared" ref="I1592" si="140">H1592-P1592-B1592-90</f>
        <v>16</v>
      </c>
      <c r="J1592" s="242">
        <v>1990</v>
      </c>
      <c r="K1592" s="242">
        <f t="shared" ref="K1592" si="141">J1592-R1592-B1592-90</f>
        <v>38</v>
      </c>
      <c r="L1592" s="244">
        <v>1980</v>
      </c>
      <c r="M1592" s="244">
        <f t="shared" ref="M1592" si="142">L1592-Q1592-B1592-90</f>
        <v>16</v>
      </c>
      <c r="N1592" s="246">
        <v>1940</v>
      </c>
      <c r="O1592" s="246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37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40">
        <v>1970</v>
      </c>
      <c r="I1593" s="240">
        <f t="shared" ref="I1593" si="144">H1593-P1593-B1593-90</f>
        <v>11</v>
      </c>
      <c r="J1593" s="242">
        <v>1990</v>
      </c>
      <c r="K1593" s="242">
        <f t="shared" ref="K1593" si="145">J1593-R1593-B1593-90</f>
        <v>33</v>
      </c>
      <c r="L1593" s="244">
        <v>1980</v>
      </c>
      <c r="M1593" s="244">
        <f t="shared" ref="M1593" si="146">L1593-Q1593-B1593-90</f>
        <v>11</v>
      </c>
      <c r="N1593" s="246">
        <v>1940</v>
      </c>
      <c r="O1593" s="246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37">
        <v>39</v>
      </c>
      <c r="T1593" s="173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40">
        <v>1970</v>
      </c>
      <c r="I1594" s="240">
        <f t="shared" ref="I1594" si="148">H1594-P1594-B1594-90</f>
        <v>11</v>
      </c>
      <c r="J1594" s="242">
        <v>1980</v>
      </c>
      <c r="K1594" s="242">
        <f t="shared" ref="K1594" si="149">J1594-R1594-B1594-90</f>
        <v>23</v>
      </c>
      <c r="L1594" s="244">
        <v>1970</v>
      </c>
      <c r="M1594" s="244">
        <f t="shared" ref="M1594" si="150">L1594-Q1594-B1594-90</f>
        <v>1</v>
      </c>
      <c r="N1594" s="246">
        <v>1940</v>
      </c>
      <c r="O1594" s="246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37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40">
        <v>1970</v>
      </c>
      <c r="I1595" s="240">
        <f t="shared" ref="I1595" si="152">H1595-P1595-B1595-90</f>
        <v>11</v>
      </c>
      <c r="J1595" s="242">
        <v>1980</v>
      </c>
      <c r="K1595" s="242">
        <f t="shared" ref="K1595" si="153">J1595-R1595-B1595-90</f>
        <v>23</v>
      </c>
      <c r="L1595" s="244">
        <v>1970</v>
      </c>
      <c r="M1595" s="244">
        <f t="shared" ref="M1595" si="154">L1595-Q1595-B1595-90</f>
        <v>1</v>
      </c>
      <c r="N1595" s="246">
        <v>1940</v>
      </c>
      <c r="O1595" s="246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37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40">
        <v>1970</v>
      </c>
      <c r="I1596" s="240">
        <f t="shared" ref="I1596" si="156">H1596-P1596-B1596-90</f>
        <v>20</v>
      </c>
      <c r="J1596" s="242">
        <v>1980</v>
      </c>
      <c r="K1596" s="242">
        <f t="shared" ref="K1596" si="157">J1596-R1596-B1596-90</f>
        <v>32</v>
      </c>
      <c r="L1596" s="244">
        <v>1970</v>
      </c>
      <c r="M1596" s="244">
        <f t="shared" ref="M1596" si="158">L1596-Q1596-B1596-90</f>
        <v>10</v>
      </c>
      <c r="N1596" s="246">
        <v>1940</v>
      </c>
      <c r="O1596" s="246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37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40">
        <v>1970</v>
      </c>
      <c r="I1597" s="240">
        <f t="shared" ref="I1597" si="160">H1597-P1597-B1597-90</f>
        <v>20</v>
      </c>
      <c r="J1597" s="242">
        <v>1980</v>
      </c>
      <c r="K1597" s="242">
        <f t="shared" ref="K1597" si="161">J1597-R1597-B1597-90</f>
        <v>32</v>
      </c>
      <c r="L1597" s="244">
        <v>1970</v>
      </c>
      <c r="M1597" s="244">
        <f t="shared" ref="M1597" si="162">L1597-Q1597-B1597-90</f>
        <v>10</v>
      </c>
      <c r="N1597" s="246">
        <v>1940</v>
      </c>
      <c r="O1597" s="246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37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40">
        <v>1970</v>
      </c>
      <c r="I1598" s="240">
        <f t="shared" ref="I1598" si="164">H1598-P1598-B1598-90</f>
        <v>20</v>
      </c>
      <c r="J1598" s="242">
        <v>1980</v>
      </c>
      <c r="K1598" s="242">
        <f t="shared" ref="K1598" si="165">J1598-R1598-B1598-90</f>
        <v>32</v>
      </c>
      <c r="L1598" s="244">
        <v>1970</v>
      </c>
      <c r="M1598" s="244">
        <f t="shared" ref="M1598" si="166">L1598-Q1598-B1598-90</f>
        <v>10</v>
      </c>
      <c r="N1598" s="246">
        <v>1940</v>
      </c>
      <c r="O1598" s="246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37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40">
        <v>1970</v>
      </c>
      <c r="I1599" s="240">
        <f t="shared" ref="I1599" si="168">H1599-P1599-B1599-90</f>
        <v>20</v>
      </c>
      <c r="J1599" s="242">
        <v>1980</v>
      </c>
      <c r="K1599" s="242">
        <f t="shared" ref="K1599" si="169">J1599-R1599-B1599-90</f>
        <v>32</v>
      </c>
      <c r="L1599" s="244">
        <v>1970</v>
      </c>
      <c r="M1599" s="244">
        <f t="shared" ref="M1599" si="170">L1599-Q1599-B1599-90</f>
        <v>10</v>
      </c>
      <c r="N1599" s="246">
        <v>1940</v>
      </c>
      <c r="O1599" s="246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37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40">
        <v>1970</v>
      </c>
      <c r="I1600" s="240">
        <f t="shared" ref="I1600" si="172">H1600-P1600-B1600-90</f>
        <v>20</v>
      </c>
      <c r="J1600" s="242">
        <v>1980</v>
      </c>
      <c r="K1600" s="242">
        <f t="shared" ref="K1600" si="173">J1600-R1600-B1600-90</f>
        <v>32</v>
      </c>
      <c r="L1600" s="244">
        <v>1970</v>
      </c>
      <c r="M1600" s="244">
        <f t="shared" ref="M1600" si="174">L1600-Q1600-B1600-90</f>
        <v>10</v>
      </c>
      <c r="N1600" s="246">
        <v>1940</v>
      </c>
      <c r="O1600" s="246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37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40">
        <v>1970</v>
      </c>
      <c r="I1601" s="240">
        <f t="shared" ref="I1601" si="176">H1601-P1601-B1601-90</f>
        <v>20</v>
      </c>
      <c r="J1601" s="242">
        <v>1980</v>
      </c>
      <c r="K1601" s="242">
        <f t="shared" ref="K1601" si="177">J1601-R1601-B1601-90</f>
        <v>32</v>
      </c>
      <c r="L1601" s="244">
        <v>1970</v>
      </c>
      <c r="M1601" s="244">
        <f t="shared" ref="M1601" si="178">L1601-Q1601-B1601-90</f>
        <v>10</v>
      </c>
      <c r="N1601" s="246">
        <v>1940</v>
      </c>
      <c r="O1601" s="246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37">
        <v>37</v>
      </c>
      <c r="T1601" s="173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40">
        <v>1970</v>
      </c>
      <c r="I1602" s="240">
        <f t="shared" ref="I1602" si="180">H1602-P1602-B1602-90</f>
        <v>20</v>
      </c>
      <c r="J1602" s="242">
        <v>1980</v>
      </c>
      <c r="K1602" s="242">
        <f t="shared" ref="K1602" si="181">J1602-R1602-B1602-90</f>
        <v>32</v>
      </c>
      <c r="L1602" s="244">
        <v>1970</v>
      </c>
      <c r="M1602" s="244">
        <f t="shared" ref="M1602" si="182">L1602-Q1602-B1602-90</f>
        <v>10</v>
      </c>
      <c r="N1602" s="246">
        <v>1940</v>
      </c>
      <c r="O1602" s="246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37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40">
        <v>1970</v>
      </c>
      <c r="I1603" s="240">
        <f t="shared" ref="I1603" si="184">H1603-P1603-B1603-90</f>
        <v>20</v>
      </c>
      <c r="J1603" s="242">
        <v>1990</v>
      </c>
      <c r="K1603" s="242">
        <f t="shared" ref="K1603" si="185">J1603-R1603-B1603-90</f>
        <v>42</v>
      </c>
      <c r="L1603" s="244">
        <v>1970</v>
      </c>
      <c r="M1603" s="244">
        <f t="shared" ref="M1603" si="186">L1603-Q1603-B1603-90</f>
        <v>10</v>
      </c>
      <c r="N1603" s="246">
        <v>1940</v>
      </c>
      <c r="O1603" s="246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37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40">
        <v>1970</v>
      </c>
      <c r="I1604" s="240">
        <f t="shared" ref="I1604" si="188">H1604-P1604-B1604-90</f>
        <v>20</v>
      </c>
      <c r="J1604" s="242">
        <v>1990</v>
      </c>
      <c r="K1604" s="242">
        <f t="shared" ref="K1604" si="189">J1604-R1604-B1604-90</f>
        <v>42</v>
      </c>
      <c r="L1604" s="244">
        <v>1970</v>
      </c>
      <c r="M1604" s="244">
        <f t="shared" ref="M1604" si="190">L1604-Q1604-B1604-90</f>
        <v>10</v>
      </c>
      <c r="N1604" s="246">
        <v>1940</v>
      </c>
      <c r="O1604" s="246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37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40">
        <v>1970</v>
      </c>
      <c r="I1605" s="240">
        <f t="shared" ref="I1605" si="192">H1605-P1605-B1605-90</f>
        <v>30</v>
      </c>
      <c r="J1605" s="242">
        <v>1990</v>
      </c>
      <c r="K1605" s="242">
        <f t="shared" ref="K1605" si="193">J1605-R1605-B1605-90</f>
        <v>52</v>
      </c>
      <c r="L1605" s="244">
        <v>1970</v>
      </c>
      <c r="M1605" s="244">
        <f t="shared" ref="M1605:M1606" si="194">L1605-Q1605-B1605-90</f>
        <v>20</v>
      </c>
      <c r="N1605" s="246">
        <v>1940</v>
      </c>
      <c r="O1605" s="246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37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40">
        <v>1960</v>
      </c>
      <c r="I1606" s="240">
        <f t="shared" ref="I1606" si="196">H1606-P1606-B1606-90</f>
        <v>30</v>
      </c>
      <c r="J1606" s="242">
        <v>1980</v>
      </c>
      <c r="K1606" s="242">
        <f t="shared" ref="K1606" si="197">J1606-R1606-B1606-90</f>
        <v>52</v>
      </c>
      <c r="L1606" s="244">
        <v>1970</v>
      </c>
      <c r="M1606" s="244">
        <f t="shared" si="194"/>
        <v>30</v>
      </c>
      <c r="N1606" s="246">
        <v>1940</v>
      </c>
      <c r="O1606" s="246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37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40">
        <v>1950</v>
      </c>
      <c r="I1607" s="240">
        <f t="shared" ref="I1607" si="199">H1607-P1607-B1607-90</f>
        <v>30</v>
      </c>
      <c r="J1607" s="242">
        <v>1970</v>
      </c>
      <c r="K1607" s="242">
        <f t="shared" ref="K1607" si="200">J1607-R1607-B1607-90</f>
        <v>52</v>
      </c>
      <c r="L1607" s="244">
        <v>1950</v>
      </c>
      <c r="M1607" s="244">
        <f t="shared" ref="M1607" si="201">L1607-Q1607-B1607-90</f>
        <v>20</v>
      </c>
      <c r="N1607" s="246">
        <v>1920</v>
      </c>
      <c r="O1607" s="246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37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40">
        <v>1940</v>
      </c>
      <c r="I1608" s="240">
        <f t="shared" ref="I1608" si="203">H1608-P1608-B1608-90</f>
        <v>20</v>
      </c>
      <c r="J1608" s="242">
        <v>1970</v>
      </c>
      <c r="K1608" s="242">
        <f t="shared" ref="K1608" si="204">J1608-R1608-B1608-90</f>
        <v>52</v>
      </c>
      <c r="L1608" s="244">
        <v>1940</v>
      </c>
      <c r="M1608" s="244">
        <f t="shared" ref="M1608" si="205">L1608-Q1608-B1608-90</f>
        <v>10</v>
      </c>
      <c r="N1608" s="246">
        <v>1920</v>
      </c>
      <c r="O1608" s="246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37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40">
        <v>1930</v>
      </c>
      <c r="I1609" s="240">
        <f t="shared" ref="I1609" si="207">H1609-P1609-B1609-90</f>
        <v>22</v>
      </c>
      <c r="J1609" s="242">
        <v>1960</v>
      </c>
      <c r="K1609" s="242">
        <f t="shared" ref="K1609" si="208">J1609-R1609-B1609-90</f>
        <v>54</v>
      </c>
      <c r="L1609" s="244">
        <v>1940</v>
      </c>
      <c r="M1609" s="244">
        <f t="shared" ref="M1609" si="209">L1609-Q1609-B1609-90</f>
        <v>22</v>
      </c>
      <c r="N1609" s="246">
        <v>1910</v>
      </c>
      <c r="O1609" s="246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37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40">
        <v>1920</v>
      </c>
      <c r="I1610" s="240">
        <f t="shared" ref="I1610" si="211">H1610-P1610-B1610-90</f>
        <v>12</v>
      </c>
      <c r="J1610" s="242">
        <v>1950</v>
      </c>
      <c r="K1610" s="242">
        <f t="shared" ref="K1610" si="212">J1610-R1610-B1610-90</f>
        <v>44</v>
      </c>
      <c r="L1610" s="244">
        <v>1930</v>
      </c>
      <c r="M1610" s="244">
        <f t="shared" ref="M1610" si="213">L1610-Q1610-B1610-90</f>
        <v>12</v>
      </c>
      <c r="N1610" s="246">
        <v>1910</v>
      </c>
      <c r="O1610" s="246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37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40">
        <v>1920</v>
      </c>
      <c r="I1611" s="240">
        <f t="shared" ref="I1611" si="215">H1611-P1611-B1611-90</f>
        <v>12</v>
      </c>
      <c r="J1611" s="242">
        <v>1950</v>
      </c>
      <c r="K1611" s="242">
        <f t="shared" ref="K1611" si="216">J1611-R1611-B1611-90</f>
        <v>44</v>
      </c>
      <c r="L1611" s="244">
        <v>1930</v>
      </c>
      <c r="M1611" s="244">
        <f t="shared" ref="M1611" si="217">L1611-Q1611-B1611-90</f>
        <v>12</v>
      </c>
      <c r="N1611" s="246">
        <v>1890</v>
      </c>
      <c r="O1611" s="246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37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40">
        <v>1890</v>
      </c>
      <c r="I1612" s="240">
        <f t="shared" ref="I1612" si="219">H1612-P1612-B1612-90</f>
        <v>12</v>
      </c>
      <c r="J1612" s="242">
        <v>1920</v>
      </c>
      <c r="K1612" s="242">
        <f t="shared" ref="K1612" si="220">J1612-R1612-B1612-90</f>
        <v>44</v>
      </c>
      <c r="L1612" s="244">
        <v>1910</v>
      </c>
      <c r="M1612" s="244">
        <f t="shared" ref="M1612" si="221">L1612-Q1612-B1612-90</f>
        <v>22</v>
      </c>
      <c r="N1612" s="246">
        <v>1870</v>
      </c>
      <c r="O1612" s="246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37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40">
        <v>1880</v>
      </c>
      <c r="I1613" s="240">
        <f t="shared" ref="I1613" si="223">H1613-P1613-B1613-90</f>
        <v>12</v>
      </c>
      <c r="J1613" s="242">
        <v>1910</v>
      </c>
      <c r="K1613" s="242">
        <f t="shared" ref="K1613" si="224">J1613-R1613-B1613-90</f>
        <v>44</v>
      </c>
      <c r="L1613" s="244">
        <v>1890</v>
      </c>
      <c r="M1613" s="244">
        <f t="shared" ref="M1613" si="225">L1613-Q1613-B1613-90</f>
        <v>12</v>
      </c>
      <c r="N1613" s="246">
        <v>1870</v>
      </c>
      <c r="O1613" s="246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37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40">
        <v>1870</v>
      </c>
      <c r="I1614" s="240">
        <f t="shared" ref="I1614" si="227">H1614-P1614-B1614-90</f>
        <v>2</v>
      </c>
      <c r="J1614" s="242">
        <v>1910</v>
      </c>
      <c r="K1614" s="242">
        <f t="shared" ref="K1614" si="228">J1614-R1614-B1614-90</f>
        <v>44</v>
      </c>
      <c r="L1614" s="244">
        <v>1870</v>
      </c>
      <c r="M1614" s="244">
        <f t="shared" ref="M1614" si="229">L1614-Q1614-B1614-90</f>
        <v>-8</v>
      </c>
      <c r="N1614" s="246">
        <v>1860</v>
      </c>
      <c r="O1614" s="246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37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40">
        <v>1870</v>
      </c>
      <c r="I1615" s="240">
        <f t="shared" ref="I1615" si="231">H1615-P1615-B1615-90</f>
        <v>2</v>
      </c>
      <c r="J1615" s="242">
        <v>1900</v>
      </c>
      <c r="K1615" s="242">
        <f t="shared" ref="K1615" si="232">J1615-R1615-B1615-90</f>
        <v>34</v>
      </c>
      <c r="L1615" s="244">
        <v>1870</v>
      </c>
      <c r="M1615" s="244">
        <f t="shared" ref="M1615" si="233">L1615-Q1615-B1615-90</f>
        <v>-8</v>
      </c>
      <c r="N1615" s="246">
        <v>1860</v>
      </c>
      <c r="O1615" s="246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37">
        <v>34</v>
      </c>
      <c r="T1615" s="173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40">
        <v>1870</v>
      </c>
      <c r="I1616" s="240">
        <f t="shared" ref="I1616" si="235">H1616-P1616-B1616-90</f>
        <v>2</v>
      </c>
      <c r="J1616" s="242">
        <v>1890</v>
      </c>
      <c r="K1616" s="242">
        <f t="shared" ref="K1616" si="236">J1616-R1616-B1616-90</f>
        <v>24</v>
      </c>
      <c r="L1616" s="244">
        <v>1860</v>
      </c>
      <c r="M1616" s="244">
        <f t="shared" ref="M1616" si="237">L1616-Q1616-B1616-90</f>
        <v>-18</v>
      </c>
      <c r="N1616" s="246">
        <v>1860</v>
      </c>
      <c r="O1616" s="246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37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40">
        <v>1880</v>
      </c>
      <c r="I1617" s="240">
        <f t="shared" ref="I1617" si="239">H1617-P1617-B1617-90</f>
        <v>2</v>
      </c>
      <c r="J1617" s="242">
        <v>1900</v>
      </c>
      <c r="K1617" s="242">
        <f t="shared" ref="K1617" si="240">J1617-R1617-B1617-90</f>
        <v>24</v>
      </c>
      <c r="L1617" s="244">
        <v>1870</v>
      </c>
      <c r="M1617" s="244">
        <f t="shared" ref="M1617" si="241">L1617-Q1617-B1617-90</f>
        <v>-18</v>
      </c>
      <c r="N1617" s="246">
        <v>1860</v>
      </c>
      <c r="O1617" s="246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37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459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40">
        <v>1880</v>
      </c>
      <c r="I1618" s="240">
        <f t="shared" ref="I1618" si="243">H1618-P1618-B1618-90</f>
        <v>2</v>
      </c>
      <c r="J1618" s="242">
        <v>1900</v>
      </c>
      <c r="K1618" s="242">
        <f t="shared" ref="K1618" si="244">J1618-R1618-B1618-90</f>
        <v>24</v>
      </c>
      <c r="L1618" s="244">
        <v>1880</v>
      </c>
      <c r="M1618" s="244">
        <f t="shared" ref="M1618" si="245">L1618-Q1618-B1618-90</f>
        <v>-8</v>
      </c>
      <c r="N1618" s="246">
        <v>1860</v>
      </c>
      <c r="O1618" s="246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37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40">
        <v>1880</v>
      </c>
      <c r="I1619" s="240">
        <f t="shared" ref="I1619" si="247">H1619-P1619-B1619-90</f>
        <v>12</v>
      </c>
      <c r="J1619" s="242">
        <v>1900</v>
      </c>
      <c r="K1619" s="242">
        <f t="shared" ref="K1619" si="248">J1619-R1619-B1619-90</f>
        <v>34</v>
      </c>
      <c r="L1619" s="244">
        <v>1880</v>
      </c>
      <c r="M1619" s="244">
        <f t="shared" ref="M1619" si="249">L1619-Q1619-B1619-90</f>
        <v>2</v>
      </c>
      <c r="N1619" s="246">
        <v>1860</v>
      </c>
      <c r="O1619" s="246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37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40">
        <v>1870</v>
      </c>
      <c r="I1620" s="240">
        <f t="shared" ref="I1620" si="251">H1620-P1620-B1620-90</f>
        <v>1</v>
      </c>
      <c r="J1620" s="242">
        <v>1890</v>
      </c>
      <c r="K1620" s="242">
        <f t="shared" ref="K1620" si="252">J1620-R1620-B1620-90</f>
        <v>23</v>
      </c>
      <c r="L1620" s="244">
        <v>1880</v>
      </c>
      <c r="M1620" s="244">
        <f t="shared" ref="M1620" si="253">L1620-Q1620-B1620-90</f>
        <v>1</v>
      </c>
      <c r="N1620" s="246">
        <v>1860</v>
      </c>
      <c r="O1620" s="246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37">
        <v>35</v>
      </c>
      <c r="T1620" s="173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40">
        <v>1870</v>
      </c>
      <c r="I1621" s="240">
        <f t="shared" ref="I1621" si="255">H1621-P1621-B1621-90</f>
        <v>1</v>
      </c>
      <c r="J1621" s="242">
        <v>1890</v>
      </c>
      <c r="K1621" s="242">
        <f t="shared" ref="K1621" si="256">J1621-R1621-B1621-90</f>
        <v>23</v>
      </c>
      <c r="L1621" s="244">
        <v>1870</v>
      </c>
      <c r="M1621" s="244">
        <f t="shared" ref="M1621" si="257">L1621-Q1621-B1621-90</f>
        <v>-9</v>
      </c>
      <c r="N1621" s="246">
        <v>1860</v>
      </c>
      <c r="O1621" s="246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37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40">
        <v>1860</v>
      </c>
      <c r="I1622" s="240">
        <f t="shared" ref="I1622" si="259">H1622-P1622-B1622-90</f>
        <v>-9</v>
      </c>
      <c r="J1622" s="242">
        <v>1890</v>
      </c>
      <c r="K1622" s="242">
        <f t="shared" ref="K1622" si="260">J1622-R1622-B1622-90</f>
        <v>23</v>
      </c>
      <c r="L1622" s="244">
        <v>1870</v>
      </c>
      <c r="M1622" s="244">
        <f t="shared" ref="M1622" si="261">L1622-Q1622-B1622-90</f>
        <v>-9</v>
      </c>
      <c r="N1622" s="246">
        <v>1860</v>
      </c>
      <c r="O1622" s="246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37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40">
        <v>1870</v>
      </c>
      <c r="I1623" s="240">
        <f t="shared" ref="I1623" si="263">H1623-P1623-B1623-90</f>
        <v>1</v>
      </c>
      <c r="J1623" s="242">
        <v>1890</v>
      </c>
      <c r="K1623" s="242">
        <f t="shared" ref="K1623" si="264">J1623-R1623-B1623-90</f>
        <v>23</v>
      </c>
      <c r="L1623" s="244">
        <v>1870</v>
      </c>
      <c r="M1623" s="244">
        <f t="shared" ref="M1623" si="265">L1623-Q1623-B1623-90</f>
        <v>-9</v>
      </c>
      <c r="N1623" s="246">
        <v>1860</v>
      </c>
      <c r="O1623" s="246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37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40">
        <v>1870</v>
      </c>
      <c r="I1624" s="240">
        <f t="shared" ref="I1624" si="267">H1624-P1624-B1624-90</f>
        <v>-4</v>
      </c>
      <c r="J1624" s="242">
        <v>1890</v>
      </c>
      <c r="K1624" s="242">
        <f t="shared" ref="K1624" si="268">J1624-R1624-B1624-90</f>
        <v>18</v>
      </c>
      <c r="L1624" s="244">
        <v>1870</v>
      </c>
      <c r="M1624" s="244">
        <f t="shared" ref="M1624" si="269">L1624-Q1624-B1624-90</f>
        <v>-14</v>
      </c>
      <c r="N1624" s="246">
        <v>1860</v>
      </c>
      <c r="O1624" s="246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37">
        <v>35</v>
      </c>
      <c r="T1624" s="173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40">
        <v>1880</v>
      </c>
      <c r="I1625" s="240">
        <f t="shared" ref="I1625" si="271">H1625-P1625-B1625-90</f>
        <v>6</v>
      </c>
      <c r="J1625" s="242">
        <v>1890</v>
      </c>
      <c r="K1625" s="242">
        <f t="shared" ref="K1625" si="272">J1625-R1625-B1625-90</f>
        <v>18</v>
      </c>
      <c r="L1625" s="244">
        <v>1880</v>
      </c>
      <c r="M1625" s="244">
        <f t="shared" ref="M1625" si="273">L1625-Q1625-B1625-90</f>
        <v>-5</v>
      </c>
      <c r="N1625" s="246">
        <v>1860</v>
      </c>
      <c r="O1625" s="246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37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40">
        <v>1880</v>
      </c>
      <c r="I1626" s="240">
        <f t="shared" ref="I1626" si="275">H1626-P1626-B1626-90</f>
        <v>1</v>
      </c>
      <c r="J1626" s="242">
        <v>1890</v>
      </c>
      <c r="K1626" s="242">
        <f t="shared" ref="K1626" si="276">J1626-R1626-B1626-90</f>
        <v>13</v>
      </c>
      <c r="L1626" s="244">
        <v>1880</v>
      </c>
      <c r="M1626" s="244">
        <f t="shared" ref="M1626" si="277">L1626-Q1626-B1626-90</f>
        <v>-10</v>
      </c>
      <c r="N1626" s="246">
        <v>1860</v>
      </c>
      <c r="O1626" s="246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37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40">
        <v>1880</v>
      </c>
      <c r="I1627" s="240">
        <f t="shared" ref="I1627" si="279">H1627-P1627-B1627-90</f>
        <v>1</v>
      </c>
      <c r="J1627" s="242">
        <v>1900</v>
      </c>
      <c r="K1627" s="242">
        <f t="shared" ref="K1627" si="280">J1627-R1627-B1627-90</f>
        <v>23</v>
      </c>
      <c r="L1627" s="244">
        <v>1880</v>
      </c>
      <c r="M1627" s="244">
        <f t="shared" ref="M1627" si="281">L1627-Q1627-B1627-90</f>
        <v>-10</v>
      </c>
      <c r="N1627" s="246">
        <v>1870</v>
      </c>
      <c r="O1627" s="246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37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459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40">
        <v>1880</v>
      </c>
      <c r="I1628" s="240">
        <f t="shared" ref="I1628" si="283">H1628-P1628-B1628-90</f>
        <v>-4</v>
      </c>
      <c r="J1628" s="242">
        <v>1900</v>
      </c>
      <c r="K1628" s="242">
        <f t="shared" ref="K1628" si="284">J1628-R1628-B1628-90</f>
        <v>18</v>
      </c>
      <c r="L1628" s="244">
        <v>1880</v>
      </c>
      <c r="M1628" s="244">
        <f t="shared" ref="M1628" si="285">L1628-Q1628-B1628-90</f>
        <v>-15</v>
      </c>
      <c r="N1628" s="246">
        <v>1870</v>
      </c>
      <c r="O1628" s="246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37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40">
        <v>1890</v>
      </c>
      <c r="I1629" s="240">
        <f t="shared" ref="I1629" si="287">H1629-P1629-B1629-90</f>
        <v>6</v>
      </c>
      <c r="J1629" s="242">
        <v>1900</v>
      </c>
      <c r="K1629" s="242">
        <f t="shared" ref="K1629" si="288">J1629-R1629-B1629-90</f>
        <v>18</v>
      </c>
      <c r="L1629" s="244">
        <v>1870</v>
      </c>
      <c r="M1629" s="244">
        <f t="shared" ref="M1629" si="289">L1629-Q1629-B1629-90</f>
        <v>-25</v>
      </c>
      <c r="N1629" s="246">
        <v>1870</v>
      </c>
      <c r="O1629" s="246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37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40">
        <v>1890</v>
      </c>
      <c r="I1630" s="240">
        <f t="shared" ref="I1630" si="291">H1630-P1630-B1630-90</f>
        <v>5</v>
      </c>
      <c r="J1630" s="242">
        <v>1900</v>
      </c>
      <c r="K1630" s="242">
        <f t="shared" ref="K1630" si="292">J1630-R1630-B1630-90</f>
        <v>17</v>
      </c>
      <c r="L1630" s="244">
        <v>1870</v>
      </c>
      <c r="M1630" s="244">
        <f t="shared" ref="M1630" si="293">L1630-Q1630-B1630-90</f>
        <v>-25</v>
      </c>
      <c r="N1630" s="246">
        <v>1870</v>
      </c>
      <c r="O1630" s="246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37">
        <v>35</v>
      </c>
      <c r="T1630" s="173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40">
        <v>1880</v>
      </c>
      <c r="I1631" s="240">
        <f t="shared" ref="I1631" si="295">H1631-P1631-B1631-90</f>
        <v>-5</v>
      </c>
      <c r="J1631" s="242">
        <v>1900</v>
      </c>
      <c r="K1631" s="242">
        <f t="shared" ref="K1631" si="296">J1631-R1631-B1631-90</f>
        <v>17</v>
      </c>
      <c r="L1631" s="244">
        <v>1870</v>
      </c>
      <c r="M1631" s="244">
        <f t="shared" ref="M1631" si="297">L1631-Q1631-B1631-90</f>
        <v>-25</v>
      </c>
      <c r="N1631" s="246">
        <v>1870</v>
      </c>
      <c r="O1631" s="246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37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40">
        <v>1880</v>
      </c>
      <c r="I1632" s="240">
        <f t="shared" ref="I1632" si="299">H1632-P1632-B1632-90</f>
        <v>0</v>
      </c>
      <c r="J1632" s="242">
        <v>1890</v>
      </c>
      <c r="K1632" s="242">
        <f t="shared" ref="K1632" si="300">J1632-R1632-B1632-90</f>
        <v>12</v>
      </c>
      <c r="L1632" s="244">
        <v>1870</v>
      </c>
      <c r="M1632" s="244">
        <f t="shared" ref="M1632" si="301">L1632-Q1632-B1632-90</f>
        <v>-20</v>
      </c>
      <c r="N1632" s="246">
        <v>1860</v>
      </c>
      <c r="O1632" s="246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37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40">
        <v>1870</v>
      </c>
      <c r="I1633" s="240">
        <f t="shared" ref="I1633" si="303">H1633-P1633-B1633-90</f>
        <v>-5</v>
      </c>
      <c r="J1633" s="242">
        <v>1890</v>
      </c>
      <c r="K1633" s="242">
        <f t="shared" ref="K1633" si="304">J1633-R1633-B1633-90</f>
        <v>17</v>
      </c>
      <c r="L1633" s="244">
        <v>1870</v>
      </c>
      <c r="M1633" s="244">
        <f t="shared" ref="M1633" si="305">L1633-Q1633-B1633-90</f>
        <v>-15</v>
      </c>
      <c r="N1633" s="246">
        <v>1860</v>
      </c>
      <c r="O1633" s="246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37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40">
        <v>1870</v>
      </c>
      <c r="I1634" s="240">
        <f t="shared" ref="I1634" si="307">H1634-P1634-B1634-90</f>
        <v>-5</v>
      </c>
      <c r="J1634" s="242">
        <v>1890</v>
      </c>
      <c r="K1634" s="242">
        <f t="shared" ref="K1634" si="308">J1634-R1634-B1634-90</f>
        <v>17</v>
      </c>
      <c r="L1634" s="244">
        <v>1870</v>
      </c>
      <c r="M1634" s="244">
        <f t="shared" ref="M1634" si="309">L1634-Q1634-B1634-90</f>
        <v>-15</v>
      </c>
      <c r="N1634" s="246">
        <v>1860</v>
      </c>
      <c r="O1634" s="246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37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40">
        <v>1870</v>
      </c>
      <c r="I1635" s="240">
        <f t="shared" ref="I1635" si="311">H1635-P1635-B1635-90</f>
        <v>-5</v>
      </c>
      <c r="J1635" s="242">
        <v>1880</v>
      </c>
      <c r="K1635" s="242">
        <f t="shared" ref="K1635" si="312">J1635-R1635-B1635-90</f>
        <v>7</v>
      </c>
      <c r="L1635" s="244">
        <v>1870</v>
      </c>
      <c r="M1635" s="244">
        <f t="shared" ref="M1635" si="313">L1635-Q1635-B1635-90</f>
        <v>-15</v>
      </c>
      <c r="N1635" s="246">
        <v>1860</v>
      </c>
      <c r="O1635" s="246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37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40">
        <v>1860</v>
      </c>
      <c r="I1636" s="240">
        <f t="shared" ref="I1636" si="315">H1636-P1636-B1636-90</f>
        <v>-15</v>
      </c>
      <c r="J1636" s="242">
        <v>1870</v>
      </c>
      <c r="K1636" s="242">
        <f t="shared" ref="K1636" si="316">J1636-R1636-B1636-90</f>
        <v>-3</v>
      </c>
      <c r="L1636" s="244">
        <v>1870</v>
      </c>
      <c r="M1636" s="244">
        <f t="shared" ref="M1636" si="317">L1636-Q1636-B1636-90</f>
        <v>-15</v>
      </c>
      <c r="N1636" s="246">
        <v>1860</v>
      </c>
      <c r="O1636" s="246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37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40">
        <v>1860</v>
      </c>
      <c r="I1637" s="240">
        <f t="shared" ref="I1637" si="319">H1637-P1637-B1637-90</f>
        <v>-5</v>
      </c>
      <c r="J1637" s="242">
        <v>1870</v>
      </c>
      <c r="K1637" s="242">
        <f t="shared" ref="K1637" si="320">J1637-R1637-B1637-90</f>
        <v>7</v>
      </c>
      <c r="L1637" s="244">
        <v>1870</v>
      </c>
      <c r="M1637" s="244">
        <f t="shared" ref="M1637:M1638" si="321">L1637-Q1637-B1637-90</f>
        <v>-5</v>
      </c>
      <c r="N1637" s="246">
        <v>1850</v>
      </c>
      <c r="O1637" s="246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37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40">
        <v>1850</v>
      </c>
      <c r="I1638" s="240">
        <f t="shared" ref="I1638" si="323">H1638-P1638-B1638-90</f>
        <v>-15</v>
      </c>
      <c r="J1638" s="242">
        <v>1860</v>
      </c>
      <c r="K1638" s="242">
        <f t="shared" ref="K1638" si="324">J1638-R1638-B1638-90</f>
        <v>-3</v>
      </c>
      <c r="L1638" s="244">
        <v>1860</v>
      </c>
      <c r="M1638" s="244">
        <f t="shared" si="321"/>
        <v>-15</v>
      </c>
      <c r="N1638" s="246">
        <v>1850</v>
      </c>
      <c r="O1638" s="246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37">
        <v>35</v>
      </c>
      <c r="T1638" s="173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40">
        <v>1850</v>
      </c>
      <c r="I1639" s="240">
        <f t="shared" ref="I1639" si="326">H1639-P1639-B1639-90</f>
        <v>-15</v>
      </c>
      <c r="J1639" s="242">
        <v>1860</v>
      </c>
      <c r="K1639" s="242">
        <f t="shared" ref="K1639" si="327">J1639-R1639-B1639-90</f>
        <v>-3</v>
      </c>
      <c r="L1639" s="244">
        <v>1850</v>
      </c>
      <c r="M1639" s="244">
        <f t="shared" ref="M1639" si="328">L1639-Q1639-B1639-90</f>
        <v>-25</v>
      </c>
      <c r="N1639" s="246">
        <v>1850</v>
      </c>
      <c r="O1639" s="246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37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40">
        <v>1850</v>
      </c>
      <c r="I1640" s="240">
        <f t="shared" ref="I1640" si="330">H1640-P1640-B1640-90</f>
        <v>-26</v>
      </c>
      <c r="J1640" s="242">
        <v>1850</v>
      </c>
      <c r="K1640" s="242">
        <f t="shared" ref="K1640" si="331">J1640-R1640-B1640-90</f>
        <v>-24</v>
      </c>
      <c r="L1640" s="244">
        <v>1850</v>
      </c>
      <c r="M1640" s="244">
        <f t="shared" ref="M1640" si="332">L1640-Q1640-B1640-90</f>
        <v>-37</v>
      </c>
      <c r="N1640" s="246">
        <v>1850</v>
      </c>
      <c r="O1640" s="246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37">
        <v>34</v>
      </c>
      <c r="T1640" s="173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40">
        <v>1860</v>
      </c>
      <c r="I1641" s="240">
        <f t="shared" ref="I1641" si="334">H1641-P1641-B1641-90</f>
        <v>-21</v>
      </c>
      <c r="J1641" s="242">
        <v>1870</v>
      </c>
      <c r="K1641" s="242">
        <f t="shared" ref="K1641" si="335">J1641-R1641-B1641-90</f>
        <v>-9</v>
      </c>
      <c r="L1641" s="244">
        <v>1860</v>
      </c>
      <c r="M1641" s="244">
        <f t="shared" ref="M1641" si="336">L1641-Q1641-B1641-90</f>
        <v>-32</v>
      </c>
      <c r="N1641" s="246">
        <v>1870</v>
      </c>
      <c r="O1641" s="246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37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40">
        <v>1860</v>
      </c>
      <c r="I1642" s="240">
        <f t="shared" ref="I1642" si="338">H1642-P1642-B1642-90</f>
        <v>-21</v>
      </c>
      <c r="J1642" s="242">
        <v>1870</v>
      </c>
      <c r="K1642" s="242">
        <f t="shared" ref="K1642" si="339">J1642-R1642-B1642-90</f>
        <v>-9</v>
      </c>
      <c r="L1642" s="244">
        <v>1870</v>
      </c>
      <c r="M1642" s="244">
        <f t="shared" ref="M1642" si="340">L1642-Q1642-B1642-90</f>
        <v>-22</v>
      </c>
      <c r="N1642" s="246">
        <v>1870</v>
      </c>
      <c r="O1642" s="246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37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40">
        <v>1860</v>
      </c>
      <c r="I1643" s="240">
        <f t="shared" ref="I1643" si="342">H1643-P1643-B1643-90</f>
        <v>-16</v>
      </c>
      <c r="J1643" s="242">
        <v>1870</v>
      </c>
      <c r="K1643" s="242">
        <f t="shared" ref="K1643" si="343">J1643-R1643-B1643-90</f>
        <v>-4</v>
      </c>
      <c r="L1643" s="244">
        <v>1870</v>
      </c>
      <c r="M1643" s="244">
        <f t="shared" ref="M1643" si="344">L1643-Q1643-B1643-90</f>
        <v>-17</v>
      </c>
      <c r="N1643" s="246">
        <v>1860</v>
      </c>
      <c r="O1643" s="246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37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40">
        <v>1860</v>
      </c>
      <c r="I1644" s="240">
        <f t="shared" ref="I1644" si="346">H1644-P1644-B1644-90</f>
        <v>-19</v>
      </c>
      <c r="J1644" s="242">
        <v>1870</v>
      </c>
      <c r="K1644" s="242">
        <f t="shared" ref="K1644" si="347">J1644-R1644-B1644-90</f>
        <v>-7</v>
      </c>
      <c r="L1644" s="244">
        <v>1870</v>
      </c>
      <c r="M1644" s="244">
        <f t="shared" ref="M1644" si="348">L1644-Q1644-B1644-90</f>
        <v>-19</v>
      </c>
      <c r="N1644" s="246">
        <v>1860</v>
      </c>
      <c r="O1644" s="246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37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40">
        <v>1860</v>
      </c>
      <c r="I1645" s="240">
        <f t="shared" ref="I1645" si="350">H1645-P1645-B1645-90</f>
        <v>-24</v>
      </c>
      <c r="J1645" s="242">
        <v>1870</v>
      </c>
      <c r="K1645" s="242">
        <f t="shared" ref="K1645" si="351">J1645-R1645-B1645-90</f>
        <v>-12</v>
      </c>
      <c r="L1645" s="244">
        <v>1870</v>
      </c>
      <c r="M1645" s="244">
        <f t="shared" ref="M1645" si="352">L1645-Q1645-B1645-90</f>
        <v>-24</v>
      </c>
      <c r="N1645" s="246">
        <v>1860</v>
      </c>
      <c r="O1645" s="246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37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40">
        <v>1860</v>
      </c>
      <c r="I1646" s="240">
        <f t="shared" ref="I1646" si="354">H1646-P1646-B1646-90</f>
        <v>-44</v>
      </c>
      <c r="J1646" s="242">
        <v>1870</v>
      </c>
      <c r="K1646" s="242">
        <f t="shared" ref="K1646" si="355">J1646-R1646-B1646-90</f>
        <v>-32</v>
      </c>
      <c r="L1646" s="244">
        <v>1870</v>
      </c>
      <c r="M1646" s="244">
        <f t="shared" ref="M1646" si="356">L1646-Q1646-B1646-90</f>
        <v>-44</v>
      </c>
      <c r="N1646" s="246">
        <v>1870</v>
      </c>
      <c r="O1646" s="246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37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40">
        <v>1890</v>
      </c>
      <c r="I1647" s="240">
        <f t="shared" ref="I1647" si="358">H1647-P1647-B1647-90</f>
        <v>-24</v>
      </c>
      <c r="J1647" s="242">
        <v>1890</v>
      </c>
      <c r="K1647" s="242">
        <f t="shared" ref="K1647" si="359">J1647-R1647-B1647-90</f>
        <v>-22</v>
      </c>
      <c r="L1647" s="244">
        <v>1880</v>
      </c>
      <c r="M1647" s="244">
        <f t="shared" ref="M1647" si="360">L1647-Q1647-B1647-90</f>
        <v>-44</v>
      </c>
      <c r="N1647" s="246">
        <v>1880</v>
      </c>
      <c r="O1647" s="246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37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40">
        <v>1890</v>
      </c>
      <c r="I1648" s="240">
        <f t="shared" ref="I1648" si="362">H1648-P1648-B1648-90</f>
        <v>-24</v>
      </c>
      <c r="J1648" s="242">
        <v>1900</v>
      </c>
      <c r="K1648" s="242">
        <f t="shared" ref="K1648" si="363">J1648-R1648-B1648-90</f>
        <v>-12</v>
      </c>
      <c r="L1648" s="244">
        <v>1890</v>
      </c>
      <c r="M1648" s="244">
        <f t="shared" ref="M1648" si="364">L1648-Q1648-B1648-90</f>
        <v>-34</v>
      </c>
      <c r="N1648" s="246">
        <v>1890</v>
      </c>
      <c r="O1648" s="246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37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134">
        <v>1790</v>
      </c>
      <c r="D1649" s="134">
        <v>1790</v>
      </c>
      <c r="G1649" s="134">
        <v>1910</v>
      </c>
      <c r="H1649" s="240">
        <v>1910</v>
      </c>
      <c r="I1649" s="240">
        <f t="shared" ref="I1649" si="366">H1649-P1649-B1649-90</f>
        <v>-12</v>
      </c>
      <c r="J1649" s="242">
        <v>1900</v>
      </c>
      <c r="K1649" s="242">
        <f t="shared" ref="K1649" si="367">J1649-R1649-B1649-90</f>
        <v>-20</v>
      </c>
      <c r="L1649" s="244">
        <v>1900</v>
      </c>
      <c r="M1649" s="244">
        <f t="shared" ref="M1649" si="368">L1649-Q1649-B1649-90</f>
        <v>-33</v>
      </c>
      <c r="N1649" s="246">
        <v>1910</v>
      </c>
      <c r="O1649" s="246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37">
        <v>39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  <row r="1650" spans="1:64">
      <c r="A1650" s="133">
        <v>43574</v>
      </c>
      <c r="B1650" s="134">
        <v>1800</v>
      </c>
      <c r="D1650" s="134">
        <v>1800</v>
      </c>
      <c r="G1650" s="134">
        <v>1910</v>
      </c>
      <c r="H1650" s="240">
        <v>1910</v>
      </c>
      <c r="I1650" s="240">
        <f t="shared" ref="I1650" si="370">H1650-P1650-B1650-90</f>
        <v>-22</v>
      </c>
      <c r="J1650" s="242">
        <v>1910</v>
      </c>
      <c r="K1650" s="242">
        <f t="shared" ref="K1650" si="371">J1650-R1650-B1650-90</f>
        <v>-20</v>
      </c>
      <c r="L1650" s="244">
        <v>1910</v>
      </c>
      <c r="M1650" s="244">
        <f t="shared" ref="M1650" si="372">L1650-Q1650-B1650-90</f>
        <v>-33</v>
      </c>
      <c r="N1650" s="246">
        <v>1910</v>
      </c>
      <c r="O1650" s="246">
        <f t="shared" ref="O1650" si="373">N1650-S1650-B1650-90</f>
        <v>-19</v>
      </c>
      <c r="P1650" s="135">
        <v>42</v>
      </c>
      <c r="Q1650" s="135">
        <v>53</v>
      </c>
      <c r="R1650" s="135">
        <v>40</v>
      </c>
      <c r="S1650" s="237">
        <v>39</v>
      </c>
      <c r="V1650" s="138">
        <v>1610</v>
      </c>
      <c r="W1650" s="138">
        <v>1620</v>
      </c>
      <c r="X1650" s="138">
        <v>1630</v>
      </c>
      <c r="AA1650" s="138">
        <v>1640</v>
      </c>
      <c r="AB1650" s="138">
        <v>1680</v>
      </c>
      <c r="AC1650" s="138">
        <v>1660</v>
      </c>
      <c r="AD1650" s="138">
        <v>1670</v>
      </c>
      <c r="AK1650" s="138">
        <v>1690</v>
      </c>
      <c r="AN1650" s="138">
        <v>1730</v>
      </c>
      <c r="AO1650" s="138">
        <v>1660</v>
      </c>
      <c r="AP1650" s="138">
        <v>1730</v>
      </c>
      <c r="AQ1650" s="138">
        <v>1650</v>
      </c>
      <c r="AR1650" s="138">
        <v>1680</v>
      </c>
      <c r="AT1650" s="138">
        <v>1720</v>
      </c>
      <c r="AW1650" s="136">
        <v>1730</v>
      </c>
      <c r="AX1650" s="136">
        <v>1640</v>
      </c>
      <c r="AY1650" s="136">
        <v>1850</v>
      </c>
      <c r="AZ1650" s="136">
        <v>1850</v>
      </c>
      <c r="BA1650" s="136">
        <v>1910</v>
      </c>
      <c r="BB1650" s="136">
        <v>1862</v>
      </c>
      <c r="BC1650" s="136">
        <v>1940</v>
      </c>
      <c r="BD1650" s="136">
        <v>1950</v>
      </c>
      <c r="BE1650" s="136">
        <v>1940</v>
      </c>
      <c r="BF1650" s="136">
        <v>1930</v>
      </c>
      <c r="BG1650" s="136">
        <v>1940</v>
      </c>
      <c r="BH1650" s="136">
        <v>1950</v>
      </c>
      <c r="BI1650" s="136">
        <v>2100</v>
      </c>
      <c r="BJ1650" s="136">
        <v>1930</v>
      </c>
      <c r="BK1650" s="136">
        <v>1950</v>
      </c>
      <c r="BL1650" s="136">
        <v>1950</v>
      </c>
    </row>
    <row r="1651" spans="1:64">
      <c r="A1651" s="133">
        <v>43577</v>
      </c>
      <c r="B1651" s="134">
        <v>1800</v>
      </c>
      <c r="D1651" s="134">
        <v>1800</v>
      </c>
      <c r="G1651" s="134">
        <v>1910</v>
      </c>
      <c r="H1651" s="240">
        <v>1910</v>
      </c>
      <c r="I1651" s="240">
        <f t="shared" ref="I1651" si="374">H1651-P1651-B1651-90</f>
        <v>-22</v>
      </c>
      <c r="J1651" s="242">
        <v>1910</v>
      </c>
      <c r="K1651" s="242">
        <f t="shared" ref="K1651" si="375">J1651-R1651-B1651-90</f>
        <v>-20</v>
      </c>
      <c r="L1651" s="244">
        <v>1910</v>
      </c>
      <c r="M1651" s="244">
        <f t="shared" ref="M1651" si="376">L1651-Q1651-B1651-90</f>
        <v>-33</v>
      </c>
      <c r="N1651" s="246">
        <v>1910</v>
      </c>
      <c r="O1651" s="246">
        <f t="shared" ref="O1651" si="377">N1651-S1651-B1651-90</f>
        <v>-19</v>
      </c>
      <c r="P1651" s="135">
        <v>42</v>
      </c>
      <c r="Q1651" s="135">
        <v>53</v>
      </c>
      <c r="R1651" s="135">
        <v>40</v>
      </c>
      <c r="S1651" s="237">
        <v>39</v>
      </c>
      <c r="V1651" s="138">
        <v>1610</v>
      </c>
      <c r="W1651" s="138">
        <v>1620</v>
      </c>
      <c r="X1651" s="138">
        <v>1630</v>
      </c>
      <c r="Y1651" s="136">
        <v>1690</v>
      </c>
      <c r="AA1651" s="138">
        <v>1640</v>
      </c>
      <c r="AB1651" s="138">
        <v>1700</v>
      </c>
      <c r="AC1651" s="138">
        <v>1680</v>
      </c>
      <c r="AD1651" s="138">
        <v>1670</v>
      </c>
      <c r="AK1651" s="138">
        <v>1690</v>
      </c>
      <c r="AN1651" s="138">
        <v>1730</v>
      </c>
      <c r="AO1651" s="138">
        <v>1660</v>
      </c>
      <c r="AP1651" s="138">
        <v>1730</v>
      </c>
      <c r="AQ1651" s="138">
        <v>1690</v>
      </c>
      <c r="AR1651" s="138">
        <v>1680</v>
      </c>
      <c r="AT1651" s="138">
        <v>1720</v>
      </c>
      <c r="AW1651" s="136">
        <v>1730</v>
      </c>
      <c r="AX1651" s="136">
        <v>1640</v>
      </c>
      <c r="AY1651" s="136">
        <v>1850</v>
      </c>
      <c r="AZ1651" s="136">
        <v>1820</v>
      </c>
      <c r="BA1651" s="136">
        <v>1905</v>
      </c>
      <c r="BB1651" s="136">
        <v>1862</v>
      </c>
      <c r="BC1651" s="136">
        <v>1960</v>
      </c>
      <c r="BD1651" s="136">
        <v>1970</v>
      </c>
      <c r="BE1651" s="136">
        <v>1940</v>
      </c>
      <c r="BF1651" s="136">
        <v>1930</v>
      </c>
      <c r="BG1651" s="136">
        <v>1940</v>
      </c>
      <c r="BH1651" s="136">
        <v>1950</v>
      </c>
      <c r="BI1651" s="136">
        <v>2110</v>
      </c>
      <c r="BJ1651" s="136">
        <v>1960</v>
      </c>
      <c r="BK1651" s="136">
        <v>1950</v>
      </c>
      <c r="BL1651" s="136">
        <v>1950</v>
      </c>
    </row>
    <row r="1652" spans="1:64">
      <c r="A1652" s="133">
        <v>43578</v>
      </c>
      <c r="B1652" s="134">
        <v>1800</v>
      </c>
      <c r="D1652" s="134">
        <v>1800</v>
      </c>
      <c r="G1652" s="134">
        <v>1920</v>
      </c>
      <c r="H1652" s="240">
        <v>1920</v>
      </c>
      <c r="I1652" s="240">
        <f t="shared" ref="I1652" si="378">H1652-P1652-B1652-90</f>
        <v>-12</v>
      </c>
      <c r="J1652" s="242">
        <v>1930</v>
      </c>
      <c r="K1652" s="242">
        <f t="shared" ref="K1652" si="379">J1652-R1652-B1652-90</f>
        <v>0</v>
      </c>
      <c r="L1652" s="244">
        <v>1930</v>
      </c>
      <c r="M1652" s="244">
        <f t="shared" ref="M1652" si="380">L1652-Q1652-B1652-90</f>
        <v>-13</v>
      </c>
      <c r="N1652" s="246">
        <v>1920</v>
      </c>
      <c r="O1652" s="246">
        <f t="shared" ref="O1652" si="381">N1652-S1652-B1652-90</f>
        <v>-9</v>
      </c>
      <c r="P1652" s="135">
        <v>42</v>
      </c>
      <c r="Q1652" s="135">
        <v>53</v>
      </c>
      <c r="R1652" s="135">
        <v>40</v>
      </c>
      <c r="S1652" s="237">
        <v>39</v>
      </c>
      <c r="V1652" s="138">
        <v>1610</v>
      </c>
      <c r="W1652" s="138">
        <v>1620</v>
      </c>
      <c r="X1652" s="138">
        <v>1630</v>
      </c>
      <c r="AA1652" s="138">
        <v>1640</v>
      </c>
      <c r="AB1652" s="138">
        <v>1700</v>
      </c>
      <c r="AC1652" s="138">
        <v>1680</v>
      </c>
      <c r="AD1652" s="138">
        <v>1670</v>
      </c>
      <c r="AK1652" s="138">
        <v>1690</v>
      </c>
      <c r="AN1652" s="138">
        <v>1730</v>
      </c>
      <c r="AO1652" s="138">
        <v>1660</v>
      </c>
      <c r="AP1652" s="138">
        <v>1730</v>
      </c>
      <c r="AQ1652" s="138">
        <v>1690</v>
      </c>
      <c r="AR1652" s="138">
        <v>1680</v>
      </c>
      <c r="AT1652" s="138">
        <v>1720</v>
      </c>
      <c r="AV1652" s="136">
        <v>1740</v>
      </c>
      <c r="AW1652" s="136">
        <v>1730</v>
      </c>
      <c r="AX1652" s="136">
        <v>1640</v>
      </c>
      <c r="AY1652" s="136">
        <v>1850</v>
      </c>
      <c r="AZ1652" s="136">
        <v>1820</v>
      </c>
      <c r="BA1652" s="136">
        <v>1905</v>
      </c>
      <c r="BB1652" s="136">
        <v>1862</v>
      </c>
      <c r="BC1652" s="136">
        <v>1960</v>
      </c>
      <c r="BD1652" s="136">
        <v>1970</v>
      </c>
      <c r="BE1652" s="136">
        <v>1940</v>
      </c>
      <c r="BF1652" s="136">
        <v>1930</v>
      </c>
      <c r="BG1652" s="136">
        <v>1940</v>
      </c>
      <c r="BH1652" s="136">
        <v>1950</v>
      </c>
      <c r="BI1652" s="136">
        <v>2110</v>
      </c>
      <c r="BJ1652" s="136">
        <v>1960</v>
      </c>
      <c r="BK1652" s="136">
        <v>1950</v>
      </c>
      <c r="BL1652" s="136">
        <v>1950</v>
      </c>
    </row>
    <row r="1653" spans="1:64">
      <c r="A1653" s="133">
        <v>43579</v>
      </c>
      <c r="B1653" s="134">
        <v>1810</v>
      </c>
      <c r="D1653" s="134">
        <v>1810</v>
      </c>
      <c r="G1653" s="134">
        <v>1930</v>
      </c>
      <c r="H1653" s="240">
        <v>1930</v>
      </c>
      <c r="I1653" s="240">
        <f t="shared" ref="I1653" si="382">H1653-P1653-B1653-90</f>
        <v>-12</v>
      </c>
      <c r="J1653" s="242">
        <v>1940</v>
      </c>
      <c r="K1653" s="242">
        <f t="shared" ref="K1653" si="383">J1653-R1653-B1653-90</f>
        <v>0</v>
      </c>
      <c r="L1653" s="244">
        <v>1930</v>
      </c>
      <c r="M1653" s="244">
        <f t="shared" ref="M1653" si="384">L1653-Q1653-B1653-90</f>
        <v>-23</v>
      </c>
      <c r="N1653" s="246">
        <v>1930</v>
      </c>
      <c r="O1653" s="246">
        <f t="shared" ref="O1653" si="385">N1653-S1653-B1653-90</f>
        <v>-9</v>
      </c>
      <c r="P1653" s="135">
        <v>42</v>
      </c>
      <c r="Q1653" s="135">
        <v>53</v>
      </c>
      <c r="R1653" s="135">
        <v>40</v>
      </c>
      <c r="S1653" s="237">
        <v>39</v>
      </c>
      <c r="V1653" s="138">
        <v>1610</v>
      </c>
      <c r="W1653" s="138">
        <v>1620</v>
      </c>
      <c r="X1653" s="138">
        <v>1630</v>
      </c>
      <c r="AA1653" s="138">
        <v>1640</v>
      </c>
      <c r="AB1653" s="138">
        <v>1700</v>
      </c>
      <c r="AC1653" s="138">
        <v>1680</v>
      </c>
      <c r="AD1653" s="138">
        <v>1670</v>
      </c>
      <c r="AK1653" s="138">
        <v>1690</v>
      </c>
      <c r="AN1653" s="138">
        <v>1730</v>
      </c>
      <c r="AO1653" s="138">
        <v>1660</v>
      </c>
      <c r="AP1653" s="138">
        <v>1730</v>
      </c>
      <c r="AQ1653" s="138">
        <v>1690</v>
      </c>
      <c r="AR1653" s="138">
        <v>1680</v>
      </c>
      <c r="AT1653" s="138">
        <v>1720</v>
      </c>
      <c r="AW1653" s="136">
        <v>1730</v>
      </c>
      <c r="AX1653" s="136">
        <v>1640</v>
      </c>
      <c r="AY1653" s="136">
        <v>1850</v>
      </c>
      <c r="AZ1653" s="136">
        <v>1820</v>
      </c>
      <c r="BA1653" s="136">
        <v>1898</v>
      </c>
      <c r="BB1653" s="136">
        <v>1844</v>
      </c>
      <c r="BC1653" s="136">
        <v>1970</v>
      </c>
      <c r="BD1653" s="136">
        <v>1970</v>
      </c>
      <c r="BE1653" s="136">
        <v>1940</v>
      </c>
      <c r="BF1653" s="136">
        <v>1930</v>
      </c>
      <c r="BG1653" s="136">
        <v>1924</v>
      </c>
      <c r="BH1653" s="136">
        <v>1950</v>
      </c>
      <c r="BI1653" s="136">
        <v>2110</v>
      </c>
      <c r="BJ1653" s="136">
        <v>1960</v>
      </c>
      <c r="BK1653" s="136">
        <v>1950</v>
      </c>
      <c r="BL1653" s="136">
        <v>1950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177</v>
      </c>
      <c r="B1" s="549" t="s">
        <v>134</v>
      </c>
      <c r="C1" s="550" t="s">
        <v>135</v>
      </c>
      <c r="D1" s="550" t="s">
        <v>136</v>
      </c>
      <c r="E1" s="551" t="s">
        <v>137</v>
      </c>
      <c r="F1" s="551" t="s">
        <v>138</v>
      </c>
      <c r="G1" s="552" t="s">
        <v>140</v>
      </c>
      <c r="H1" s="552" t="s">
        <v>141</v>
      </c>
      <c r="I1" s="552" t="s">
        <v>142</v>
      </c>
      <c r="J1" s="553" t="s">
        <v>134</v>
      </c>
      <c r="K1" s="553" t="s">
        <v>136</v>
      </c>
      <c r="L1" s="553" t="s">
        <v>144</v>
      </c>
      <c r="M1" s="553" t="s">
        <v>145</v>
      </c>
      <c r="N1" s="553" t="s">
        <v>146</v>
      </c>
      <c r="O1" s="553" t="s">
        <v>135</v>
      </c>
      <c r="P1" s="553" t="s">
        <v>147</v>
      </c>
      <c r="Q1" s="554" t="s">
        <v>149</v>
      </c>
      <c r="R1" s="554" t="s">
        <v>150</v>
      </c>
      <c r="S1" s="554" t="s">
        <v>151</v>
      </c>
      <c r="T1" s="554" t="s">
        <v>134</v>
      </c>
      <c r="U1" s="555" t="s">
        <v>178</v>
      </c>
      <c r="V1" s="555" t="s">
        <v>179</v>
      </c>
      <c r="W1" s="555" t="s">
        <v>180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RowHeight="13.5"/>
  <cols>
    <col min="1" max="1" width="11.375" bestFit="1" customWidth="1"/>
    <col min="2" max="2" width="15.125" bestFit="1" customWidth="1"/>
    <col min="3" max="4" width="13" bestFit="1" customWidth="1"/>
    <col min="5" max="5" width="11" bestFit="1" customWidth="1"/>
    <col min="6" max="6" width="15.125" bestFit="1" customWidth="1"/>
    <col min="7" max="8" width="13" bestFit="1" customWidth="1"/>
    <col min="9" max="9" width="11" bestFit="1" customWidth="1"/>
    <col min="10" max="10" width="15.125" bestFit="1" customWidth="1"/>
    <col min="11" max="12" width="13" bestFit="1" customWidth="1"/>
    <col min="13" max="13" width="11" bestFit="1" customWidth="1"/>
  </cols>
  <sheetData>
    <row r="1" spans="1:13" s="556" customFormat="1">
      <c r="B1" s="638" t="s">
        <v>510</v>
      </c>
      <c r="C1" s="638"/>
      <c r="D1" s="638"/>
      <c r="E1" s="638"/>
      <c r="F1" s="638" t="s">
        <v>511</v>
      </c>
      <c r="G1" s="638"/>
      <c r="H1" s="638"/>
      <c r="I1" s="638"/>
      <c r="J1" s="638" t="s">
        <v>512</v>
      </c>
      <c r="K1" s="638"/>
      <c r="L1" s="638"/>
      <c r="M1" s="638"/>
    </row>
    <row r="2" spans="1:13">
      <c r="A2" t="s">
        <v>505</v>
      </c>
      <c r="B2" t="s">
        <v>506</v>
      </c>
      <c r="C2" t="s">
        <v>507</v>
      </c>
      <c r="D2" t="s">
        <v>508</v>
      </c>
      <c r="E2" t="s">
        <v>509</v>
      </c>
      <c r="F2" s="556" t="s">
        <v>506</v>
      </c>
      <c r="G2" s="556" t="s">
        <v>507</v>
      </c>
      <c r="H2" s="556" t="s">
        <v>508</v>
      </c>
      <c r="I2" s="556" t="s">
        <v>509</v>
      </c>
      <c r="J2" s="556" t="s">
        <v>506</v>
      </c>
      <c r="K2" s="556" t="s">
        <v>507</v>
      </c>
      <c r="L2" s="556" t="s">
        <v>508</v>
      </c>
      <c r="M2" s="556" t="s">
        <v>509</v>
      </c>
    </row>
    <row r="3" spans="1:13">
      <c r="A3" s="489">
        <v>41791</v>
      </c>
    </row>
    <row r="4" spans="1:13">
      <c r="A4" s="489">
        <v>41821</v>
      </c>
    </row>
    <row r="5" spans="1:13">
      <c r="A5" s="489">
        <v>41852</v>
      </c>
    </row>
    <row r="6" spans="1:13">
      <c r="A6" s="489">
        <v>41883</v>
      </c>
    </row>
    <row r="7" spans="1:13">
      <c r="A7" s="489">
        <v>41913</v>
      </c>
    </row>
    <row r="8" spans="1:13">
      <c r="A8" s="489">
        <v>41944</v>
      </c>
    </row>
    <row r="9" spans="1:13">
      <c r="A9" s="489">
        <v>41974</v>
      </c>
    </row>
    <row r="10" spans="1:13">
      <c r="A10" s="489">
        <v>42005</v>
      </c>
    </row>
    <row r="11" spans="1:13">
      <c r="A11" s="489">
        <v>42036</v>
      </c>
    </row>
    <row r="12" spans="1:13">
      <c r="A12" s="489">
        <v>42064</v>
      </c>
    </row>
    <row r="13" spans="1:13">
      <c r="A13" s="489">
        <v>42095</v>
      </c>
    </row>
    <row r="14" spans="1:13">
      <c r="A14" s="489">
        <v>42125</v>
      </c>
    </row>
    <row r="15" spans="1:13">
      <c r="A15" s="489">
        <v>42156</v>
      </c>
    </row>
    <row r="16" spans="1:13">
      <c r="A16" s="489">
        <v>42186</v>
      </c>
    </row>
    <row r="17" spans="1:1">
      <c r="A17" s="489">
        <v>42217</v>
      </c>
    </row>
    <row r="18" spans="1:1">
      <c r="A18" s="489">
        <v>42248</v>
      </c>
    </row>
    <row r="19" spans="1:1">
      <c r="A19" s="489">
        <v>42278</v>
      </c>
    </row>
    <row r="20" spans="1:1">
      <c r="A20" s="489">
        <v>42309</v>
      </c>
    </row>
    <row r="21" spans="1:1">
      <c r="A21" s="489">
        <v>42339</v>
      </c>
    </row>
    <row r="22" spans="1:1">
      <c r="A22" s="489">
        <v>42370</v>
      </c>
    </row>
    <row r="23" spans="1:1">
      <c r="A23" s="489">
        <v>42401</v>
      </c>
    </row>
    <row r="24" spans="1:1">
      <c r="A24" s="489">
        <v>42430</v>
      </c>
    </row>
    <row r="25" spans="1:1">
      <c r="A25" s="489">
        <v>42461</v>
      </c>
    </row>
    <row r="26" spans="1:1">
      <c r="A26" s="489">
        <v>42491</v>
      </c>
    </row>
    <row r="27" spans="1:1">
      <c r="A27" s="489">
        <v>42522</v>
      </c>
    </row>
    <row r="28" spans="1:1">
      <c r="A28" s="489">
        <v>42552</v>
      </c>
    </row>
    <row r="29" spans="1:1">
      <c r="A29" s="489">
        <v>42583</v>
      </c>
    </row>
    <row r="30" spans="1:1">
      <c r="A30" s="489">
        <v>42614</v>
      </c>
    </row>
    <row r="31" spans="1:1">
      <c r="A31" s="489">
        <v>42644</v>
      </c>
    </row>
    <row r="32" spans="1:1">
      <c r="A32" s="489">
        <v>42675</v>
      </c>
    </row>
    <row r="33" spans="1:1">
      <c r="A33" s="489">
        <v>42705</v>
      </c>
    </row>
    <row r="34" spans="1:1">
      <c r="A34" s="489">
        <v>42736</v>
      </c>
    </row>
    <row r="35" spans="1:1">
      <c r="A35" s="489">
        <v>42767</v>
      </c>
    </row>
    <row r="36" spans="1:1">
      <c r="A36" s="489">
        <v>42795</v>
      </c>
    </row>
    <row r="37" spans="1:1">
      <c r="A37" s="489">
        <v>42826</v>
      </c>
    </row>
    <row r="38" spans="1:1">
      <c r="A38" s="489">
        <v>42856</v>
      </c>
    </row>
    <row r="39" spans="1:1">
      <c r="A39" s="489">
        <v>42887</v>
      </c>
    </row>
    <row r="40" spans="1:1">
      <c r="A40" s="489">
        <v>42917</v>
      </c>
    </row>
    <row r="41" spans="1:1">
      <c r="A41" s="489">
        <v>42948</v>
      </c>
    </row>
    <row r="42" spans="1:1">
      <c r="A42" s="489">
        <v>42979</v>
      </c>
    </row>
    <row r="43" spans="1:1">
      <c r="A43" s="489">
        <v>43009</v>
      </c>
    </row>
    <row r="44" spans="1:1">
      <c r="A44" s="489">
        <v>43040</v>
      </c>
    </row>
    <row r="45" spans="1:1">
      <c r="A45" s="489">
        <v>43070</v>
      </c>
    </row>
    <row r="46" spans="1:1">
      <c r="A46" s="489">
        <v>43101</v>
      </c>
    </row>
    <row r="47" spans="1:1">
      <c r="A47" s="489">
        <v>43132</v>
      </c>
    </row>
    <row r="48" spans="1:1">
      <c r="A48" s="489">
        <v>43160</v>
      </c>
    </row>
    <row r="49" spans="1:1">
      <c r="A49" s="489">
        <v>43191</v>
      </c>
    </row>
    <row r="50" spans="1:1">
      <c r="A50" s="489">
        <v>43221</v>
      </c>
    </row>
    <row r="51" spans="1:1">
      <c r="A51" s="489">
        <v>43252</v>
      </c>
    </row>
    <row r="52" spans="1:1">
      <c r="A52" s="489">
        <v>43282</v>
      </c>
    </row>
    <row r="53" spans="1:1">
      <c r="A53" s="489">
        <v>43313</v>
      </c>
    </row>
    <row r="54" spans="1:1">
      <c r="A54" s="489">
        <v>43344</v>
      </c>
    </row>
    <row r="55" spans="1:1">
      <c r="A55" s="489">
        <v>43374</v>
      </c>
    </row>
    <row r="56" spans="1:1">
      <c r="A56" s="489">
        <v>43405</v>
      </c>
    </row>
    <row r="57" spans="1:1">
      <c r="A57" s="489">
        <v>43435</v>
      </c>
    </row>
    <row r="58" spans="1:1">
      <c r="A58" s="489">
        <v>43466</v>
      </c>
    </row>
    <row r="59" spans="1:1">
      <c r="A59" s="489">
        <v>43497</v>
      </c>
    </row>
    <row r="60" spans="1:1">
      <c r="A60" s="489">
        <v>43525</v>
      </c>
    </row>
    <row r="61" spans="1:1">
      <c r="A61" s="489">
        <v>43556</v>
      </c>
    </row>
    <row r="62" spans="1:1">
      <c r="A62" s="489">
        <v>43586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678" t="s">
        <v>59</v>
      </c>
      <c r="G1" s="679"/>
      <c r="H1" s="678" t="s">
        <v>60</v>
      </c>
      <c r="I1" s="679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167</v>
      </c>
      <c r="H2" s="151" t="s">
        <v>63</v>
      </c>
      <c r="I2" s="151" t="s">
        <v>167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168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169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680" t="s">
        <v>75</v>
      </c>
      <c r="B16" s="681"/>
      <c r="C16" s="681"/>
      <c r="D16" s="681"/>
      <c r="E16" s="681"/>
      <c r="F16" s="681"/>
      <c r="G16" s="681"/>
      <c r="H16" s="681"/>
      <c r="I16" s="682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L28" sqref="L28"/>
    </sheetView>
  </sheetViews>
  <sheetFormatPr defaultRowHeight="13.5"/>
  <sheetData>
    <row r="1" spans="1:24">
      <c r="A1" s="683" t="s">
        <v>76</v>
      </c>
      <c r="B1" s="683" t="s">
        <v>13</v>
      </c>
      <c r="C1" s="683" t="s">
        <v>14</v>
      </c>
      <c r="D1" s="684"/>
      <c r="E1" s="684"/>
      <c r="F1" s="683" t="s">
        <v>77</v>
      </c>
      <c r="G1" s="684"/>
      <c r="H1" s="684"/>
      <c r="I1" s="684"/>
      <c r="J1" s="684"/>
      <c r="K1" s="683" t="s">
        <v>78</v>
      </c>
      <c r="L1" s="684"/>
      <c r="M1" s="684"/>
      <c r="N1" s="683" t="s">
        <v>79</v>
      </c>
      <c r="O1" s="684"/>
      <c r="P1" s="684"/>
      <c r="Q1" s="683" t="s">
        <v>80</v>
      </c>
      <c r="R1" s="684"/>
      <c r="S1" s="684"/>
      <c r="T1" s="684"/>
      <c r="U1" s="98" t="s">
        <v>81</v>
      </c>
      <c r="V1" s="683" t="s">
        <v>82</v>
      </c>
      <c r="W1" s="684"/>
      <c r="X1" s="684"/>
    </row>
    <row r="2" spans="1:24">
      <c r="A2" s="683"/>
      <c r="B2" s="683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226</v>
      </c>
      <c r="Z18" t="s">
        <v>227</v>
      </c>
      <c r="AA18" t="s">
        <v>228</v>
      </c>
      <c r="AB18" t="s">
        <v>229</v>
      </c>
      <c r="AC18" t="s">
        <v>230</v>
      </c>
      <c r="AD18" t="s">
        <v>231</v>
      </c>
      <c r="AE18" t="s">
        <v>232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444</v>
      </c>
      <c r="C23" t="s">
        <v>443</v>
      </c>
      <c r="D23" t="s">
        <v>445</v>
      </c>
      <c r="E23" t="s">
        <v>446</v>
      </c>
      <c r="F23" t="s">
        <v>447</v>
      </c>
      <c r="G23" t="s">
        <v>448</v>
      </c>
      <c r="H23" t="s">
        <v>451</v>
      </c>
    </row>
    <row r="24" spans="2:31">
      <c r="B24" t="s">
        <v>449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450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0" sqref="B10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219</v>
      </c>
      <c r="B1" s="218" t="s">
        <v>220</v>
      </c>
    </row>
    <row r="2" spans="1:2">
      <c r="A2" s="219">
        <v>43396</v>
      </c>
      <c r="B2" s="218" t="s">
        <v>218</v>
      </c>
    </row>
    <row r="3" spans="1:2" ht="66">
      <c r="A3" s="219">
        <v>43397</v>
      </c>
      <c r="B3" s="218" t="s">
        <v>225</v>
      </c>
    </row>
    <row r="4" spans="1:2" ht="33">
      <c r="A4" s="219">
        <v>43399</v>
      </c>
      <c r="B4" s="218" t="s">
        <v>222</v>
      </c>
    </row>
    <row r="5" spans="1:2">
      <c r="A5" s="219">
        <v>43399</v>
      </c>
      <c r="B5" s="218" t="s">
        <v>221</v>
      </c>
    </row>
    <row r="6" spans="1:2">
      <c r="A6" s="219">
        <v>43410</v>
      </c>
      <c r="B6" s="218" t="s">
        <v>224</v>
      </c>
    </row>
    <row r="7" spans="1:2" ht="56.25" customHeight="1">
      <c r="A7" s="219">
        <v>43441</v>
      </c>
      <c r="B7" s="218" t="s">
        <v>442</v>
      </c>
    </row>
    <row r="8" spans="1:2">
      <c r="A8" s="219">
        <v>43473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workbookViewId="0">
      <selection activeCell="B8" sqref="B8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43579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567"/>
      <c r="K1" s="567"/>
      <c r="L1" s="567"/>
      <c r="M1" s="568"/>
      <c r="N1" s="568"/>
      <c r="O1" s="558" t="s">
        <v>133</v>
      </c>
      <c r="P1" s="181" t="s">
        <v>132</v>
      </c>
      <c r="Q1" s="181" t="s">
        <v>176</v>
      </c>
      <c r="R1" s="182">
        <f>INDEX(饲料厂库存!A:A,COUNTA(饲料厂库存!A:A))</f>
        <v>43565</v>
      </c>
      <c r="S1" s="182">
        <f>INDEX(饲料厂库存!A:A,COUNTA(饲料厂库存!A:A)-1)</f>
        <v>43557</v>
      </c>
      <c r="T1" s="181" t="s">
        <v>166</v>
      </c>
      <c r="U1" s="546" t="s">
        <v>496</v>
      </c>
      <c r="V1" s="546" t="str">
        <f>P1</f>
        <v>企业</v>
      </c>
      <c r="W1" s="547" t="s">
        <v>497</v>
      </c>
      <c r="X1" s="546" t="s">
        <v>498</v>
      </c>
      <c r="Y1" s="546" t="s">
        <v>499</v>
      </c>
      <c r="Z1" s="546" t="s">
        <v>500</v>
      </c>
    </row>
    <row r="2" spans="1:26" ht="20.100000000000001" customHeight="1">
      <c r="A2" s="183" t="s">
        <v>116</v>
      </c>
      <c r="B2" s="232">
        <f>LOOKUP(2,1/(价格!T:T&lt;&gt;0),价格!T:T)</f>
        <v>1600</v>
      </c>
      <c r="C2" s="232">
        <f>LOOKUP(2,1/(价格!Y:Y&lt;&gt;0),价格!Y:Y)</f>
        <v>1690</v>
      </c>
      <c r="D2" s="232">
        <f>LOOKUP(2,1/(价格!AF:AF&lt;&gt;0),价格!AF:AF)</f>
        <v>1550</v>
      </c>
      <c r="E2" s="232">
        <f>LOOKUP(2,1/(价格!AI:AI&lt;&gt;0),价格!AI:AI)</f>
        <v>1670</v>
      </c>
      <c r="F2" s="232">
        <f>LOOKUP(2,1/(价格!AL:AL&lt;&gt;0),价格!AL:AL)</f>
        <v>1700</v>
      </c>
      <c r="G2" s="232">
        <f>LOOKUP(2,1/(价格!AS:AS&lt;&gt;0),价格!AS:AS)</f>
        <v>1770</v>
      </c>
      <c r="H2" s="232">
        <f>LOOKUP(2,1/(价格!AV:AV&lt;&gt;0),价格!AV:AV)</f>
        <v>1740</v>
      </c>
      <c r="J2" s="571"/>
      <c r="K2" s="565"/>
      <c r="L2" s="566"/>
      <c r="M2" s="233"/>
      <c r="N2" s="233"/>
      <c r="O2" s="569" t="s">
        <v>139</v>
      </c>
      <c r="P2" s="232" t="s">
        <v>134</v>
      </c>
      <c r="Q2" s="260">
        <f>(R2-S2)/S2</f>
        <v>0</v>
      </c>
      <c r="R2" s="232">
        <f>INDEX(饲料厂库存!B:B,COUNTA(饲料厂库存!$A:$A))</f>
        <v>30</v>
      </c>
      <c r="S2" s="232">
        <f>INDEX(饲料厂库存!B:B,COUNTA(饲料厂库存!A:A)-1)</f>
        <v>30</v>
      </c>
      <c r="T2" s="232"/>
      <c r="U2" s="572" t="str">
        <f>O2</f>
        <v>珠三角</v>
      </c>
      <c r="V2" s="545" t="str">
        <f>P2</f>
        <v>温氏</v>
      </c>
      <c r="W2" s="545">
        <f>R2</f>
        <v>30</v>
      </c>
      <c r="X2" s="572" t="str">
        <f>O14</f>
        <v>长三角</v>
      </c>
      <c r="Y2" s="545" t="str">
        <f>P14</f>
        <v>温氏</v>
      </c>
      <c r="Z2" s="545">
        <f>R14</f>
        <v>20</v>
      </c>
    </row>
    <row r="3" spans="1:26" ht="20.100000000000001" customHeight="1">
      <c r="A3" s="185" t="s">
        <v>122</v>
      </c>
      <c r="B3" s="186" t="s">
        <v>124</v>
      </c>
      <c r="C3" s="186" t="s">
        <v>423</v>
      </c>
      <c r="D3" s="186" t="s">
        <v>125</v>
      </c>
      <c r="E3" s="186" t="s">
        <v>126</v>
      </c>
      <c r="F3" s="186" t="s">
        <v>253</v>
      </c>
      <c r="G3" s="186" t="s">
        <v>127</v>
      </c>
      <c r="H3" s="186" t="s">
        <v>420</v>
      </c>
      <c r="J3" s="571"/>
      <c r="K3" s="565"/>
      <c r="L3" s="566"/>
      <c r="M3" s="233"/>
      <c r="N3" s="233"/>
      <c r="O3" s="569"/>
      <c r="P3" s="232" t="s">
        <v>135</v>
      </c>
      <c r="Q3" s="260">
        <f t="shared" ref="Q3:Q9" si="0">(R3-S3)/S3</f>
        <v>0</v>
      </c>
      <c r="R3" s="232">
        <f>INDEX(饲料厂库存!C:C,COUNTA(饲料厂库存!A:A))</f>
        <v>20</v>
      </c>
      <c r="S3" s="232">
        <f>INDEX(饲料厂库存!C:C,COUNTA(饲料厂库存!A:A)-1)</f>
        <v>20</v>
      </c>
      <c r="T3" s="232"/>
      <c r="U3" s="573"/>
      <c r="V3" s="545" t="str">
        <f t="shared" ref="V3:V6" si="1">P3</f>
        <v>双胞胎</v>
      </c>
      <c r="W3" s="545">
        <f t="shared" ref="W3:W6" si="2">R3</f>
        <v>20</v>
      </c>
      <c r="X3" s="573"/>
      <c r="Y3" s="545" t="str">
        <f t="shared" ref="Y3:Y8" si="3">P15</f>
        <v>海大</v>
      </c>
      <c r="Z3" s="545">
        <f t="shared" ref="Z3:Z8" si="4">R15</f>
        <v>25</v>
      </c>
    </row>
    <row r="4" spans="1:26" ht="20.100000000000001" customHeight="1">
      <c r="A4" s="185" t="s">
        <v>123</v>
      </c>
      <c r="B4" s="186">
        <f>LOOKUP(2,1/(价格!V:V&lt;&gt;0),价格!V:V)</f>
        <v>1610</v>
      </c>
      <c r="C4" s="186">
        <f>LOOKUP(2,1/(价格!AA:AA&lt;&gt;0),价格!AA:AA)</f>
        <v>1640</v>
      </c>
      <c r="D4" s="186" t="str">
        <f>LOOKUP(2,1/(价格!AH:AH&lt;&gt;0),价格!AH:AH)</f>
        <v>停收</v>
      </c>
      <c r="E4" s="186">
        <f>LOOKUP(2,1/(价格!AK:AK&lt;&gt;0),价格!AK:AK)</f>
        <v>1690</v>
      </c>
      <c r="F4" s="186">
        <f>LOOKUP(2,1/(价格!AO:AO&lt;&gt;0),价格!AO:AO)</f>
        <v>1660</v>
      </c>
      <c r="G4" s="186">
        <f>LOOKUP(2,1/(价格!AT:AT&lt;&gt;0),价格!AT:AT)</f>
        <v>1720</v>
      </c>
      <c r="H4" s="186">
        <f>LOOKUP(2,1/(价格!AW:AW&lt;&gt;0),价格!AW:AW)</f>
        <v>1730</v>
      </c>
      <c r="J4" s="571"/>
      <c r="K4" s="565"/>
      <c r="L4" s="566"/>
      <c r="M4" s="233"/>
      <c r="N4" s="233"/>
      <c r="O4" s="569"/>
      <c r="P4" s="232" t="s">
        <v>136</v>
      </c>
      <c r="Q4" s="260">
        <f t="shared" si="0"/>
        <v>0</v>
      </c>
      <c r="R4" s="232">
        <f>INDEX(饲料厂库存!D:D,COUNTA(饲料厂库存!A:A))</f>
        <v>15</v>
      </c>
      <c r="S4" s="232">
        <f>INDEX(饲料厂库存!D:D,COUNTA(饲料厂库存!A:A)-1)</f>
        <v>15</v>
      </c>
      <c r="T4" s="232"/>
      <c r="U4" s="573"/>
      <c r="V4" s="545" t="str">
        <f t="shared" si="1"/>
        <v>海大</v>
      </c>
      <c r="W4" s="545">
        <f t="shared" si="2"/>
        <v>15</v>
      </c>
      <c r="X4" s="573"/>
      <c r="Y4" s="545" t="str">
        <f t="shared" si="3"/>
        <v>正邦</v>
      </c>
      <c r="Z4" s="545">
        <f t="shared" si="4"/>
        <v>30</v>
      </c>
    </row>
    <row r="5" spans="1:26" ht="20.100000000000001" customHeight="1">
      <c r="A5" s="232" t="s">
        <v>223</v>
      </c>
      <c r="B5" s="232">
        <f>LOOKUP(2,1/(价格!U:U&lt;&gt;0),价格!U:U)</f>
        <v>175</v>
      </c>
      <c r="C5" s="232">
        <f>LOOKUP(2,1/(价格!Z:Z&lt;&gt;0),价格!Z:Z)</f>
        <v>130</v>
      </c>
      <c r="D5" s="232">
        <f>C5+120</f>
        <v>250</v>
      </c>
      <c r="E5" s="232">
        <f>LOOKUP(2,1/(价格!AJ:AJ&lt;&gt;0),价格!AJ:AJ)</f>
        <v>130</v>
      </c>
      <c r="F5" s="232">
        <f>C5-25</f>
        <v>105</v>
      </c>
      <c r="G5" s="232">
        <f>F5-75</f>
        <v>30</v>
      </c>
      <c r="H5" s="232">
        <v>70</v>
      </c>
      <c r="J5" s="571"/>
      <c r="K5" s="565"/>
      <c r="L5" s="566"/>
      <c r="M5" s="233"/>
      <c r="N5" s="233"/>
      <c r="O5" s="569"/>
      <c r="P5" s="232" t="s">
        <v>137</v>
      </c>
      <c r="Q5" s="260">
        <f t="shared" si="0"/>
        <v>0</v>
      </c>
      <c r="R5" s="232">
        <f>INDEX(饲料厂库存!E:E,COUNTA(饲料厂库存!A:A))</f>
        <v>15</v>
      </c>
      <c r="S5" s="232">
        <f>INDEX(饲料厂库存!E:E,COUNTA(饲料厂库存!A:A)-1)</f>
        <v>15</v>
      </c>
      <c r="T5" s="232"/>
      <c r="U5" s="573"/>
      <c r="V5" s="545" t="str">
        <f t="shared" si="1"/>
        <v>南宝</v>
      </c>
      <c r="W5" s="545">
        <f t="shared" si="2"/>
        <v>15</v>
      </c>
      <c r="X5" s="573"/>
      <c r="Y5" s="545" t="str">
        <f t="shared" si="3"/>
        <v>九鼎</v>
      </c>
      <c r="Z5" s="545">
        <f t="shared" si="4"/>
        <v>20</v>
      </c>
    </row>
    <row r="6" spans="1:26" ht="20.100000000000001" customHeight="1">
      <c r="A6" s="232" t="s">
        <v>113</v>
      </c>
      <c r="B6" s="232">
        <f>B2+B5</f>
        <v>1775</v>
      </c>
      <c r="C6" s="232">
        <f t="shared" ref="C6:H6" si="5">C2+C5</f>
        <v>1820</v>
      </c>
      <c r="D6" s="232">
        <f t="shared" si="5"/>
        <v>1800</v>
      </c>
      <c r="E6" s="232">
        <f t="shared" si="5"/>
        <v>1800</v>
      </c>
      <c r="F6" s="232">
        <f t="shared" si="5"/>
        <v>1805</v>
      </c>
      <c r="G6" s="232">
        <f t="shared" si="5"/>
        <v>1800</v>
      </c>
      <c r="H6" s="232">
        <f t="shared" si="5"/>
        <v>1810</v>
      </c>
      <c r="J6" s="571"/>
      <c r="K6" s="565"/>
      <c r="L6" s="566"/>
      <c r="M6" s="233"/>
      <c r="N6" s="233"/>
      <c r="O6" s="569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574"/>
      <c r="V6" s="545" t="str">
        <f t="shared" si="1"/>
        <v>小散企业</v>
      </c>
      <c r="W6" s="545">
        <f t="shared" si="2"/>
        <v>5</v>
      </c>
      <c r="X6" s="573"/>
      <c r="Y6" s="545" t="str">
        <f>P18</f>
        <v>唐人神</v>
      </c>
      <c r="Z6" s="545">
        <f t="shared" si="4"/>
        <v>25</v>
      </c>
    </row>
    <row r="7" spans="1:26" ht="20.100000000000001" customHeight="1">
      <c r="A7" s="232" t="s">
        <v>164</v>
      </c>
      <c r="B7" s="232">
        <f>LOOKUP(2,1/(价格!$B:$B&lt;&gt;0),价格!$B:$B)</f>
        <v>1810</v>
      </c>
      <c r="C7" s="232">
        <f>LOOKUP(2,1/(价格!$B:$B&lt;&gt;0),价格!$B:$B)</f>
        <v>1810</v>
      </c>
      <c r="D7" s="232">
        <f>LOOKUP(2,1/(价格!$D:$D&lt;&gt;0),价格!$D:$D)</f>
        <v>1810</v>
      </c>
      <c r="E7" s="232">
        <f>LOOKUP(2,1/(价格!$B:$B&lt;&gt;0),价格!$B:$B)</f>
        <v>1810</v>
      </c>
      <c r="F7" s="232">
        <f>LOOKUP(2,1/(价格!$D:$D&lt;&gt;0),价格!$D:$D)</f>
        <v>1810</v>
      </c>
      <c r="G7" s="232">
        <f>LOOKUP(2,1/(价格!$D:$D&lt;&gt;0),价格!$D:$D)</f>
        <v>1810</v>
      </c>
      <c r="H7" s="232">
        <f>LOOKUP(2,1/(价格!$B:$B&lt;&gt;0),价格!$B:$B)</f>
        <v>1810</v>
      </c>
      <c r="J7" s="571"/>
      <c r="K7" s="565"/>
      <c r="L7" s="566"/>
      <c r="M7" s="233"/>
      <c r="N7" s="233"/>
      <c r="O7" s="569" t="s">
        <v>143</v>
      </c>
      <c r="P7" s="232" t="s">
        <v>140</v>
      </c>
      <c r="Q7" s="260">
        <f t="shared" si="0"/>
        <v>0</v>
      </c>
      <c r="R7" s="232">
        <f>INDEX(饲料厂库存!G:G,COUNTA(饲料厂库存!A:A))</f>
        <v>25</v>
      </c>
      <c r="S7" s="232">
        <f>INDEX(饲料厂库存!G:G,COUNTA(饲料厂库存!A:A)-1)</f>
        <v>25</v>
      </c>
      <c r="T7" s="232"/>
      <c r="U7" s="572" t="s">
        <v>501</v>
      </c>
      <c r="V7" s="545" t="s">
        <v>502</v>
      </c>
      <c r="W7" s="545">
        <f>INDEX(饲料厂库存!U:U,COUNTA(饲料厂库存!$A:$A))</f>
        <v>20</v>
      </c>
      <c r="X7" s="573"/>
      <c r="Y7" s="545" t="str">
        <f t="shared" si="3"/>
        <v>双胞胎</v>
      </c>
      <c r="Z7" s="545">
        <f t="shared" si="4"/>
        <v>45</v>
      </c>
    </row>
    <row r="8" spans="1:26" ht="20.100000000000001" customHeight="1">
      <c r="A8" s="187" t="s">
        <v>114</v>
      </c>
      <c r="B8" s="259">
        <f>B7-B6</f>
        <v>35</v>
      </c>
      <c r="C8" s="259">
        <f t="shared" ref="C8:H8" si="6">C7-C6</f>
        <v>-10</v>
      </c>
      <c r="D8" s="259">
        <f t="shared" si="6"/>
        <v>10</v>
      </c>
      <c r="E8" s="259">
        <f t="shared" si="6"/>
        <v>10</v>
      </c>
      <c r="F8" s="259">
        <f t="shared" si="6"/>
        <v>5</v>
      </c>
      <c r="G8" s="259">
        <f t="shared" si="6"/>
        <v>10</v>
      </c>
      <c r="H8" s="259">
        <f t="shared" si="6"/>
        <v>0</v>
      </c>
      <c r="J8" s="233"/>
      <c r="K8" s="233"/>
      <c r="L8" s="566"/>
      <c r="M8" s="233"/>
      <c r="N8" s="233"/>
      <c r="O8" s="569"/>
      <c r="P8" s="232" t="s">
        <v>141</v>
      </c>
      <c r="Q8" s="260">
        <f t="shared" si="0"/>
        <v>0</v>
      </c>
      <c r="R8" s="232">
        <f>INDEX(饲料厂库存!H:H,COUNTA(饲料厂库存!A:A))</f>
        <v>20</v>
      </c>
      <c r="S8" s="232">
        <f>INDEX(饲料厂库存!H:H,COUNTA(饲料厂库存!A:A)-1)</f>
        <v>20</v>
      </c>
      <c r="T8" s="232"/>
      <c r="U8" s="573"/>
      <c r="V8" s="545" t="s">
        <v>503</v>
      </c>
      <c r="W8" s="545">
        <f>INDEX(饲料厂库存!V:V,COUNTA(饲料厂库存!$A:$A))</f>
        <v>15</v>
      </c>
      <c r="X8" s="574"/>
      <c r="Y8" s="545" t="str">
        <f t="shared" si="3"/>
        <v>华农恒青</v>
      </c>
      <c r="Z8" s="545">
        <f t="shared" si="4"/>
        <v>25</v>
      </c>
    </row>
    <row r="9" spans="1:26" ht="20.100000000000001" customHeight="1">
      <c r="J9" s="571"/>
      <c r="K9" s="565"/>
      <c r="L9" s="566"/>
      <c r="M9" s="233"/>
      <c r="N9" s="233"/>
      <c r="O9" s="569"/>
      <c r="P9" s="232" t="s">
        <v>142</v>
      </c>
      <c r="Q9" s="260">
        <f t="shared" si="0"/>
        <v>0</v>
      </c>
      <c r="R9" s="232">
        <f>INDEX(饲料厂库存!I:I,COUNTA(饲料厂库存!A:A))</f>
        <v>20</v>
      </c>
      <c r="S9" s="232">
        <f>INDEX(饲料厂库存!I:I,COUNTA(饲料厂库存!A:A)-1)</f>
        <v>20</v>
      </c>
      <c r="T9" s="232"/>
      <c r="U9" s="574"/>
      <c r="V9" s="545" t="s">
        <v>504</v>
      </c>
      <c r="W9" s="545">
        <f>INDEX(饲料厂库存!W:W,COUNTA(饲料厂库存!$A:$A))</f>
        <v>10</v>
      </c>
      <c r="X9" s="569" t="str">
        <f>O10</f>
        <v>福建</v>
      </c>
      <c r="Y9" s="545" t="str">
        <f>P10</f>
        <v>海新</v>
      </c>
      <c r="Z9" s="545">
        <f>R10</f>
        <v>25</v>
      </c>
    </row>
    <row r="10" spans="1:26" ht="20.100000000000001" customHeight="1">
      <c r="A10" s="181" t="s">
        <v>156</v>
      </c>
      <c r="B10" s="181" t="s">
        <v>157</v>
      </c>
      <c r="C10" s="181" t="s">
        <v>18</v>
      </c>
      <c r="D10" s="181" t="s">
        <v>19</v>
      </c>
      <c r="E10" s="181" t="s">
        <v>158</v>
      </c>
      <c r="F10" s="233"/>
      <c r="G10" s="233"/>
      <c r="J10" s="571"/>
      <c r="K10" s="565"/>
      <c r="L10" s="566"/>
      <c r="M10" s="233"/>
      <c r="N10" s="233"/>
      <c r="O10" s="569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572" t="str">
        <f>O7</f>
        <v>西南</v>
      </c>
      <c r="V10" s="545" t="str">
        <f>P7</f>
        <v>特驱</v>
      </c>
      <c r="W10" s="545">
        <f>R7</f>
        <v>25</v>
      </c>
      <c r="X10" s="569"/>
      <c r="Y10" s="545" t="str">
        <f>P11</f>
        <v>华龙</v>
      </c>
      <c r="Z10" s="545">
        <f>R11</f>
        <v>10</v>
      </c>
    </row>
    <row r="11" spans="1:26" ht="20.100000000000001" customHeight="1">
      <c r="A11" s="232" t="s">
        <v>163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571"/>
      <c r="K11" s="565"/>
      <c r="L11" s="566"/>
      <c r="M11" s="233"/>
      <c r="N11" s="233"/>
      <c r="O11" s="569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573"/>
      <c r="V11" s="545" t="str">
        <f>P8</f>
        <v>通威</v>
      </c>
      <c r="W11" s="545">
        <f>R8</f>
        <v>20</v>
      </c>
      <c r="X11" s="569"/>
      <c r="Y11" s="545" t="str">
        <f>P12</f>
        <v>傲农</v>
      </c>
      <c r="Z11" s="545">
        <f>R12</f>
        <v>8</v>
      </c>
    </row>
    <row r="12" spans="1:26" ht="20.100000000000001" customHeight="1">
      <c r="A12" s="232" t="s">
        <v>159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571"/>
      <c r="K12" s="565"/>
      <c r="L12" s="566"/>
      <c r="M12" s="233"/>
      <c r="N12" s="233"/>
      <c r="O12" s="569"/>
      <c r="P12" s="232" t="s">
        <v>151</v>
      </c>
      <c r="Q12" s="260">
        <f t="shared" si="7"/>
        <v>0</v>
      </c>
      <c r="R12" s="232">
        <f>INDEX(饲料厂库存!S:S,COUNTA(饲料厂库存!A:A))</f>
        <v>8</v>
      </c>
      <c r="S12" s="232">
        <f>INDEX(饲料厂库存!S:S,COUNTA(饲料厂库存!A:A)-1)</f>
        <v>8</v>
      </c>
      <c r="T12" s="232"/>
      <c r="U12" s="574"/>
      <c r="V12" s="545" t="str">
        <f>P9</f>
        <v>希望</v>
      </c>
      <c r="W12" s="545">
        <f>R9</f>
        <v>20</v>
      </c>
      <c r="X12" s="569"/>
      <c r="Y12" s="545" t="str">
        <f>P13</f>
        <v>温氏</v>
      </c>
      <c r="Z12" s="545">
        <f>R13</f>
        <v>15</v>
      </c>
    </row>
    <row r="13" spans="1:26" ht="20.100000000000001" customHeight="1">
      <c r="A13" s="232" t="s">
        <v>160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571"/>
      <c r="K13" s="565"/>
      <c r="L13" s="566"/>
      <c r="M13" s="233"/>
      <c r="N13" s="233"/>
      <c r="O13" s="569"/>
      <c r="P13" s="232" t="s">
        <v>134</v>
      </c>
      <c r="Q13" s="260">
        <f t="shared" si="7"/>
        <v>0</v>
      </c>
      <c r="R13" s="232">
        <f>INDEX(饲料厂库存!T:T,COUNTA(饲料厂库存!A:A))</f>
        <v>15</v>
      </c>
      <c r="S13" s="232">
        <f>INDEX(饲料厂库存!T:T,COUNTA(饲料厂库存!A:A)-1)</f>
        <v>15</v>
      </c>
      <c r="T13" s="232"/>
      <c r="X13" s="548"/>
      <c r="Y13" s="233"/>
      <c r="Z13" s="233"/>
    </row>
    <row r="14" spans="1:26" ht="20.100000000000001" customHeight="1">
      <c r="A14" s="232" t="s">
        <v>161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571"/>
      <c r="K14" s="565"/>
      <c r="L14" s="566"/>
      <c r="M14" s="233"/>
      <c r="N14" s="233"/>
      <c r="O14" s="569" t="s">
        <v>148</v>
      </c>
      <c r="P14" s="232" t="s">
        <v>134</v>
      </c>
      <c r="Q14" s="260">
        <f t="shared" si="7"/>
        <v>0</v>
      </c>
      <c r="R14" s="232">
        <f>INDEX(饲料厂库存!J:J,COUNTA(饲料厂库存!A:A))</f>
        <v>20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LOOKUP(2,1/(价格!$B:$B&lt;&gt;0),价格!$B:$B)</f>
        <v>1810</v>
      </c>
      <c r="C15" s="232">
        <f>LOOKUP(2,1/(价格!$D:$D&lt;&gt;0),价格!$D:$D)</f>
        <v>1810</v>
      </c>
      <c r="D15" s="232">
        <f>LOOKUP(2,1/(价格!$D:$D&lt;&gt;0),价格!$D:$D)</f>
        <v>1810</v>
      </c>
      <c r="E15" s="232">
        <f>LOOKUP(2,1/(价格!$B:$B&lt;&gt;0),价格!$B:$B)</f>
        <v>1810</v>
      </c>
      <c r="F15" s="233"/>
      <c r="G15" s="233"/>
      <c r="J15" s="571"/>
      <c r="K15" s="565"/>
      <c r="L15" s="566"/>
      <c r="M15" s="233"/>
      <c r="N15" s="233"/>
      <c r="O15" s="569"/>
      <c r="P15" s="232" t="s">
        <v>136</v>
      </c>
      <c r="Q15" s="260">
        <f t="shared" si="7"/>
        <v>0</v>
      </c>
      <c r="R15" s="232">
        <f>INDEX(饲料厂库存!K:K,COUNTA(饲料厂库存!A:A))</f>
        <v>25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162</v>
      </c>
      <c r="B16" s="259">
        <f>B15-B14</f>
        <v>124</v>
      </c>
      <c r="C16" s="259">
        <f t="shared" ref="C16:E16" si="10">C15-C14</f>
        <v>62</v>
      </c>
      <c r="D16" s="259">
        <f t="shared" si="10"/>
        <v>20</v>
      </c>
      <c r="E16" s="259">
        <f t="shared" si="10"/>
        <v>-29</v>
      </c>
      <c r="F16" s="233"/>
      <c r="G16" s="233"/>
      <c r="J16" s="571"/>
      <c r="K16" s="565"/>
      <c r="L16" s="566"/>
      <c r="M16" s="233"/>
      <c r="N16" s="233"/>
      <c r="O16" s="569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566"/>
      <c r="M17" s="233"/>
      <c r="N17" s="233"/>
      <c r="O17" s="569"/>
      <c r="P17" s="232" t="s">
        <v>145</v>
      </c>
      <c r="Q17" s="260">
        <f t="shared" si="7"/>
        <v>0</v>
      </c>
      <c r="R17" s="232">
        <f>INDEX(饲料厂库存!M:M,COUNTA(饲料厂库存!A:A))</f>
        <v>20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569"/>
      <c r="P18" s="232" t="s">
        <v>146</v>
      </c>
      <c r="Q18" s="260">
        <f t="shared" si="7"/>
        <v>0</v>
      </c>
      <c r="R18" s="232">
        <f>INDEX(饲料厂库存!N:N,COUNTA(饲料厂库存!A:A))</f>
        <v>25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569"/>
      <c r="P19" s="232" t="s">
        <v>135</v>
      </c>
      <c r="Q19" s="260">
        <f t="shared" si="7"/>
        <v>0</v>
      </c>
      <c r="R19" s="232">
        <f>INDEX(饲料厂库存!O:O,COUNTA(饲料厂库存!A:A))</f>
        <v>45</v>
      </c>
      <c r="S19" s="232">
        <f>INDEX(饲料厂库存!O:O,COUNTA(饲料厂库存!A:A)-1)</f>
        <v>45</v>
      </c>
      <c r="T19" s="232"/>
    </row>
    <row r="20" spans="1:20">
      <c r="A20" s="182">
        <f ca="1">TODAY()</f>
        <v>43579</v>
      </c>
      <c r="B20" s="235" t="s">
        <v>283</v>
      </c>
      <c r="C20" s="357" t="s">
        <v>233</v>
      </c>
      <c r="D20" s="357" t="s">
        <v>234</v>
      </c>
      <c r="E20" s="570" t="s">
        <v>304</v>
      </c>
      <c r="F20" s="570"/>
      <c r="G20" s="357" t="s">
        <v>233</v>
      </c>
      <c r="H20" s="357" t="s">
        <v>234</v>
      </c>
      <c r="I20" s="357" t="s">
        <v>298</v>
      </c>
      <c r="O20" s="569"/>
      <c r="P20" s="232" t="s">
        <v>147</v>
      </c>
      <c r="Q20" s="260">
        <f t="shared" si="7"/>
        <v>0</v>
      </c>
      <c r="R20" s="232">
        <f>INDEX(饲料厂库存!P:P,COUNTA(饲料厂库存!A:A))</f>
        <v>25</v>
      </c>
      <c r="S20" s="232">
        <f>INDEX(饲料厂库存!P:P,COUNTA(饲料厂库存!A:A)-1)</f>
        <v>25</v>
      </c>
      <c r="T20" s="232"/>
    </row>
    <row r="21" spans="1:20">
      <c r="A21" s="569" t="s">
        <v>282</v>
      </c>
      <c r="B21" s="311" t="s">
        <v>235</v>
      </c>
      <c r="C21" s="310">
        <f>LOOKUP(2,1/(价格!W:W&lt;&gt;0),价格!W:W)</f>
        <v>1620</v>
      </c>
      <c r="D21" s="326">
        <f>INDEX(价格!W:W,COUNTA(价格!$A:$A)+1)-INDEX(价格!W:W,COUNTA(价格!$A:$A)-4)</f>
        <v>0</v>
      </c>
      <c r="E21" s="569" t="s">
        <v>276</v>
      </c>
      <c r="F21" s="356" t="s">
        <v>267</v>
      </c>
      <c r="G21" s="356">
        <f>LOOKUP(2,1/(价格!B:B&lt;&gt;0),价格!B:B)</f>
        <v>1810</v>
      </c>
      <c r="H21" s="326">
        <f>INDEX(价格!B:B,COUNTA(价格!$A:$A)+1)-INDEX(价格!B:B,COUNTA(价格!$A:$A)-4)</f>
        <v>30</v>
      </c>
      <c r="I21" s="569"/>
    </row>
    <row r="22" spans="1:20">
      <c r="A22" s="569"/>
      <c r="B22" s="311" t="s">
        <v>425</v>
      </c>
      <c r="C22" s="310">
        <f>LOOKUP(2,1/(价格!V:V&lt;&gt;0),价格!V:V)</f>
        <v>1610</v>
      </c>
      <c r="D22" s="326">
        <f>INDEX(价格!V:V,COUNTA(价格!$A:$A)+1)-INDEX(价格!V:V,COUNTA(价格!$A:$A)-4)</f>
        <v>0</v>
      </c>
      <c r="E22" s="569"/>
      <c r="F22" s="356" t="s">
        <v>268</v>
      </c>
      <c r="G22" s="326">
        <f>INDEX(价格!C:C,COUNTA(价格!$A:$A)+1)</f>
        <v>0</v>
      </c>
      <c r="H22" s="326"/>
      <c r="I22" s="569"/>
    </row>
    <row r="23" spans="1:20">
      <c r="A23" s="569"/>
      <c r="B23" s="311" t="s">
        <v>236</v>
      </c>
      <c r="C23" s="310">
        <f>LOOKUP(2,1/(价格!$AB:$AB&lt;&gt;0),价格!$AB:$AB)</f>
        <v>1700</v>
      </c>
      <c r="D23" s="326">
        <f>INDEX(价格!AB:AB,COUNTA(价格!A:A)+1)-INDEX(价格!AB:AB,COUNTA(价格!A:A)-4)</f>
        <v>20</v>
      </c>
      <c r="E23" s="569"/>
      <c r="F23" s="356" t="s">
        <v>269</v>
      </c>
      <c r="G23" s="356">
        <f>LOOKUP(2,1/(价格!D:D&lt;&gt;0),价格!D:D)</f>
        <v>1810</v>
      </c>
      <c r="H23" s="326">
        <f>INDEX(价格!D:D,COUNTA(价格!$A:$A)+1)-INDEX(价格!D:D,COUNTA(价格!$A:$A)-4)</f>
        <v>30</v>
      </c>
      <c r="I23" s="569"/>
      <c r="P23" s="233"/>
      <c r="Q23" s="189" t="s">
        <v>182</v>
      </c>
      <c r="R23" s="189" t="s">
        <v>183</v>
      </c>
      <c r="S23" s="189" t="s">
        <v>184</v>
      </c>
    </row>
    <row r="24" spans="1:20">
      <c r="A24" s="569"/>
      <c r="B24" s="311" t="s">
        <v>237</v>
      </c>
      <c r="C24" s="310">
        <f>LOOKUP(2,1/(价格!AC:AC&lt;&gt;0),价格!AC:AC)</f>
        <v>1680</v>
      </c>
      <c r="D24" s="326">
        <f>INDEX(价格!AC:AC,COUNTA(价格!A:A)+1)-INDEX(价格!AC:AC,COUNTA(价格!A:A)-4)</f>
        <v>50</v>
      </c>
      <c r="E24" s="569"/>
      <c r="F24" s="356" t="s">
        <v>270</v>
      </c>
      <c r="G24" s="326">
        <f>INDEX(价格!E:E,COUNTA(价格!$A:$A)+1)</f>
        <v>0</v>
      </c>
      <c r="H24" s="326"/>
      <c r="I24" s="569"/>
      <c r="P24" s="233" t="s">
        <v>185</v>
      </c>
      <c r="Q24" s="233">
        <v>1700</v>
      </c>
      <c r="R24" s="233">
        <v>1410</v>
      </c>
      <c r="S24" s="233">
        <v>1650</v>
      </c>
    </row>
    <row r="25" spans="1:20">
      <c r="A25" s="569"/>
      <c r="B25" s="311" t="s">
        <v>238</v>
      </c>
      <c r="C25" s="310">
        <f>LOOKUP(2,1/(价格!AD:AD&lt;&gt;0),价格!AD:AD)</f>
        <v>1670</v>
      </c>
      <c r="D25" s="326">
        <f>INDEX(价格!AD:AD,COUNTA(价格!A:A)+1)-INDEX(价格!AD:AD,COUNTA(价格!A:A)-4)</f>
        <v>0</v>
      </c>
      <c r="E25" s="569"/>
      <c r="F25" s="310" t="s">
        <v>271</v>
      </c>
      <c r="G25" s="356">
        <f>LOOKUP(2,1/(价格!H:H&lt;&gt;0),价格!H:H)</f>
        <v>1930</v>
      </c>
      <c r="H25" s="326">
        <f>INDEX(价格!H:H,COUNTA(价格!$A:$A)+1)-INDEX(价格!H:H,COUNTA(价格!$A:$A)-4)</f>
        <v>40</v>
      </c>
      <c r="I25" s="356"/>
      <c r="K25" s="266" t="s">
        <v>331</v>
      </c>
      <c r="L25" s="266" t="s">
        <v>328</v>
      </c>
      <c r="M25" s="266" t="s">
        <v>329</v>
      </c>
      <c r="N25" s="266" t="s">
        <v>330</v>
      </c>
      <c r="P25" s="180" t="s">
        <v>186</v>
      </c>
      <c r="Q25" s="180">
        <v>1650</v>
      </c>
      <c r="R25" s="180">
        <v>1810</v>
      </c>
      <c r="S25" s="180">
        <v>1790</v>
      </c>
    </row>
    <row r="26" spans="1:20">
      <c r="A26" s="569"/>
      <c r="B26" s="311" t="s">
        <v>426</v>
      </c>
      <c r="C26" s="310">
        <f>LOOKUP(2,1/(价格!AA:AA&lt;&gt;0),价格!AA:AA)</f>
        <v>1640</v>
      </c>
      <c r="D26" s="326">
        <f>INDEX(价格!AA:AA,COUNTA(价格!A:A)+1)-INDEX(价格!AA:AA,COUNTA(价格!A:A)-4)</f>
        <v>0</v>
      </c>
      <c r="E26" s="569"/>
      <c r="F26" s="356" t="s">
        <v>272</v>
      </c>
      <c r="G26" s="356">
        <f>LOOKUP(2,1/(价格!L:L&lt;&gt;0),价格!L:L)</f>
        <v>1930</v>
      </c>
      <c r="H26" s="326">
        <f>INDEX(价格!L:L,COUNTA(价格!$A:$A)+1)-INDEX(价格!L:L,COUNTA(价格!$A:$A)-4)</f>
        <v>40</v>
      </c>
      <c r="I26" s="356"/>
      <c r="K26" s="267" t="s">
        <v>321</v>
      </c>
      <c r="L26" s="267">
        <v>3250.2</v>
      </c>
      <c r="M26" s="540">
        <v>3189.96</v>
      </c>
      <c r="N26" s="337">
        <f>(L26-M26)/M26</f>
        <v>1.8884249332279959E-2</v>
      </c>
      <c r="P26" s="180" t="s">
        <v>187</v>
      </c>
      <c r="Q26" s="180">
        <v>1810</v>
      </c>
      <c r="R26" s="180">
        <v>1750</v>
      </c>
      <c r="S26" s="180">
        <v>1950</v>
      </c>
    </row>
    <row r="27" spans="1:20">
      <c r="A27" s="569"/>
      <c r="B27" s="311" t="s">
        <v>332</v>
      </c>
      <c r="C27" s="310">
        <f>LOOKUP(2,1/(价格!$X:$X&lt;&gt;0),价格!$X:$X)</f>
        <v>1630</v>
      </c>
      <c r="D27" s="326">
        <f>INDEX(价格!X:X,COUNTA(价格!A:A)+1)-INDEX(价格!X:X,COUNTA(价格!A:A)-4)</f>
        <v>0</v>
      </c>
      <c r="E27" s="569"/>
      <c r="F27" s="356" t="s">
        <v>273</v>
      </c>
      <c r="G27" s="356">
        <f>LOOKUP(2,1/(价格!J:J&lt;&gt;0),价格!J:J)</f>
        <v>1940</v>
      </c>
      <c r="H27" s="326">
        <f>INDEX(价格!J:J,COUNTA(价格!$A:$A)+1)-INDEX(价格!J:J,COUNTA(价格!$A:$A)-4)</f>
        <v>40</v>
      </c>
      <c r="I27" s="356"/>
      <c r="K27" s="267" t="s">
        <v>322</v>
      </c>
      <c r="L27" s="267">
        <v>2900.45</v>
      </c>
      <c r="M27" s="540">
        <v>2888.21</v>
      </c>
      <c r="N27" s="337">
        <f t="shared" ref="N27:N34" si="11">(L27-M27)/M27</f>
        <v>4.2379189878851541E-3</v>
      </c>
    </row>
    <row r="28" spans="1:20">
      <c r="A28" s="569"/>
      <c r="B28" s="311" t="s">
        <v>354</v>
      </c>
      <c r="C28" s="310" t="str">
        <f>LOOKUP(2,1/(价格!AE:AE&lt;&gt;0),价格!AE:AE)</f>
        <v>停收</v>
      </c>
      <c r="D28" s="326">
        <f>INDEX(价格!AE:AE,COUNTA(价格!A:A)+1)-INDEX(价格!AE:AE,COUNTA(价格!A:A)-2)</f>
        <v>0</v>
      </c>
      <c r="E28" s="569"/>
      <c r="F28" s="356" t="s">
        <v>274</v>
      </c>
      <c r="G28" s="356">
        <f>LOOKUP(2,1/(价格!N:N&lt;&gt;0),价格!N:N)</f>
        <v>1930</v>
      </c>
      <c r="H28" s="326">
        <f>INDEX(价格!N:N,COUNTA(价格!$A:$A)+1)-INDEX(价格!N:N,COUNTA(价格!$A:$A)-4)</f>
        <v>40</v>
      </c>
      <c r="I28" s="356"/>
      <c r="K28" s="267" t="s">
        <v>323</v>
      </c>
      <c r="L28" s="267">
        <v>1.1294</v>
      </c>
      <c r="M28" s="540">
        <v>1.1284000000000001</v>
      </c>
      <c r="N28" s="337">
        <f t="shared" si="11"/>
        <v>8.8621056362982078E-4</v>
      </c>
    </row>
    <row r="29" spans="1:20">
      <c r="A29" s="569"/>
      <c r="B29" s="311" t="s">
        <v>252</v>
      </c>
      <c r="C29" s="310" t="str">
        <f>LOOKUP(2,1/(价格!$AH:$AH&lt;&gt;0),价格!$AH:$AH)</f>
        <v>停收</v>
      </c>
      <c r="D29" s="326">
        <f>INDEX(价格!AH:AH,COUNTA(价格!A:A)+1)-INDEX(价格!AH:AH,COUNTA(价格!A:A)-2)</f>
        <v>0</v>
      </c>
      <c r="E29" s="569" t="s">
        <v>424</v>
      </c>
      <c r="F29" s="356" t="s">
        <v>301</v>
      </c>
      <c r="G29" s="356">
        <f>LOOKUP(2,1/(价格!BL:BL&lt;&gt;0),价格!BL:BL)</f>
        <v>1950</v>
      </c>
      <c r="H29" s="326">
        <f>INDEX(价格!BL:BL,COUNTA(价格!A:A)+1)-INDEX(价格!BL:BL,COUNTA(价格!A:A)-4)</f>
        <v>0</v>
      </c>
      <c r="I29" s="356"/>
      <c r="K29" s="267" t="s">
        <v>324</v>
      </c>
      <c r="L29" s="267">
        <v>1273.96</v>
      </c>
      <c r="M29" s="540">
        <v>1305.24</v>
      </c>
      <c r="N29" s="337">
        <f t="shared" si="11"/>
        <v>-2.3964941313474895E-2</v>
      </c>
    </row>
    <row r="30" spans="1:20">
      <c r="A30" s="569" t="s">
        <v>281</v>
      </c>
      <c r="B30" s="311" t="s">
        <v>255</v>
      </c>
      <c r="C30" s="310">
        <f>LOOKUP(2,1/(价格!AO:AO&lt;&gt;0),价格!AO:AO)</f>
        <v>1660</v>
      </c>
      <c r="D30" s="326">
        <f>INDEX(价格!AO:AO,COUNTA(价格!A:A)+1)-INDEX(价格!AO:AO,COUNTA(价格!A:A)-4)</f>
        <v>0</v>
      </c>
      <c r="E30" s="569"/>
      <c r="F30" s="356" t="s">
        <v>275</v>
      </c>
      <c r="G30" s="356">
        <f>LOOKUP(2,1/(价格!BJ:BJ&lt;&gt;0),价格!BJ:BJ)</f>
        <v>1960</v>
      </c>
      <c r="H30" s="326">
        <f>INDEX(价格!BJ:BJ,COUNTA(价格!A:A)+1)-INDEX(价格!BJ:BJ,COUNTA(价格!A:A)-4)</f>
        <v>30</v>
      </c>
      <c r="I30" s="356"/>
      <c r="K30" s="267" t="s">
        <v>325</v>
      </c>
      <c r="L30" s="267">
        <v>6.6932</v>
      </c>
      <c r="M30" s="540">
        <v>6.7232000000000003</v>
      </c>
      <c r="N30" s="337">
        <f t="shared" si="11"/>
        <v>-4.4621608757734778E-3</v>
      </c>
    </row>
    <row r="31" spans="1:20">
      <c r="A31" s="569"/>
      <c r="B31" s="310" t="s">
        <v>254</v>
      </c>
      <c r="C31" s="310">
        <f>LOOKUP(2,1/(价格!AP:AP&lt;&gt;0),价格!AP:AP)</f>
        <v>1730</v>
      </c>
      <c r="D31" s="326">
        <f>INDEX(价格!AP:AP,COUNTA(价格!A:A)+1)-INDEX(价格!AP:AP,COUNTA(价格!A:A)-4)</f>
        <v>20</v>
      </c>
      <c r="E31" s="569"/>
      <c r="F31" s="356" t="s">
        <v>302</v>
      </c>
      <c r="G31" s="356">
        <f>LOOKUP(2,1/(价格!BI:BI&lt;&gt;0),价格!BI:BI)</f>
        <v>2110</v>
      </c>
      <c r="H31" s="326">
        <f>INDEX(价格!BI:BI,COUNTA(价格!A:A)+1)-INDEX(价格!BI:BI,COUNTA(价格!A:A)-4)</f>
        <v>20</v>
      </c>
      <c r="I31" s="356"/>
      <c r="K31" s="267" t="s">
        <v>326</v>
      </c>
      <c r="L31" s="267">
        <v>71.45</v>
      </c>
      <c r="M31" s="540">
        <v>71.33</v>
      </c>
      <c r="N31" s="337">
        <f t="shared" si="11"/>
        <v>1.682321603813326E-3</v>
      </c>
    </row>
    <row r="32" spans="1:20">
      <c r="A32" s="569"/>
      <c r="B32" s="310" t="s">
        <v>257</v>
      </c>
      <c r="C32" s="310">
        <f>LOOKUP(2,1/(价格!$AK:$AK&lt;&gt;0),价格!$AK:$AK)</f>
        <v>1690</v>
      </c>
      <c r="D32" s="326">
        <f>INDEX(价格!AK:AK,COUNTA(价格!A:A)+1)-INDEX(价格!AK:AK,COUNTA(价格!A:A)-4)</f>
        <v>0</v>
      </c>
      <c r="E32" s="569"/>
      <c r="F32" s="356" t="s">
        <v>303</v>
      </c>
      <c r="G32" s="356">
        <f>LOOKUP(2,1/(价格!BK:BK&lt;&gt;0),价格!BK:BK)</f>
        <v>1950</v>
      </c>
      <c r="H32" s="326">
        <f>INDEX(价格!BK:BK,COUNTA(价格!A:A)+1)-INDEX(价格!BK:BK,COUNTA(价格!A:A)-4)</f>
        <v>20</v>
      </c>
      <c r="I32" s="356"/>
      <c r="K32" s="267" t="s">
        <v>327</v>
      </c>
      <c r="L32" s="267">
        <v>5299.9</v>
      </c>
      <c r="M32" s="540">
        <v>5204</v>
      </c>
      <c r="N32" s="337">
        <f t="shared" si="11"/>
        <v>1.8428132205995318E-2</v>
      </c>
    </row>
    <row r="33" spans="1:14">
      <c r="A33" s="569"/>
      <c r="B33" s="356" t="s">
        <v>355</v>
      </c>
      <c r="C33" s="356">
        <f>LOOKUP(2,1/(价格!AQ:AQ&lt;&gt;0),价格!AQ:AQ)</f>
        <v>1690</v>
      </c>
      <c r="D33" s="326">
        <f>INDEX(价格!AQ:AQ,COUNTA(价格!A:A)+1)-INDEX(价格!AQ:AQ,COUNTA(价格!A:A)-4)</f>
        <v>40</v>
      </c>
      <c r="E33" s="357" t="s">
        <v>357</v>
      </c>
      <c r="F33" s="357" t="s">
        <v>291</v>
      </c>
      <c r="G33" s="357" t="s">
        <v>316</v>
      </c>
      <c r="H33" s="357" t="s">
        <v>317</v>
      </c>
      <c r="I33" s="357" t="s">
        <v>292</v>
      </c>
      <c r="K33" s="267" t="s">
        <v>452</v>
      </c>
      <c r="L33" s="267">
        <v>367</v>
      </c>
      <c r="M33" s="540">
        <v>362</v>
      </c>
      <c r="N33" s="337">
        <f t="shared" si="11"/>
        <v>1.3812154696132596E-2</v>
      </c>
    </row>
    <row r="34" spans="1:14">
      <c r="A34" s="569"/>
      <c r="B34" s="356" t="s">
        <v>428</v>
      </c>
      <c r="C34" s="356">
        <f>LOOKUP(2,1/(价格!AR:AR&lt;&gt;0),价格!AR:AR)</f>
        <v>1680</v>
      </c>
      <c r="D34" s="326">
        <f>INDEX(价格!AR:AR,COUNTA(价格!A:A)+1)-INDEX(价格!AR:AR,COUNTA(价格!A:A)-4)</f>
        <v>0</v>
      </c>
      <c r="E34" s="356" t="s">
        <v>284</v>
      </c>
      <c r="F34" s="356">
        <f>LOOKUP(2,1/(NSPort!B:B&lt;&gt;0),NSPort!B:B)</f>
        <v>215.90000000000009</v>
      </c>
      <c r="G34" s="356">
        <f>LOOKUP(2,1/(NSPort!C:C&lt;&gt;0),NSPort!C:C)</f>
        <v>21.7</v>
      </c>
      <c r="H34" s="356">
        <f>LOOKUP(2,1/(NSPort!D:D&lt;&gt;0),NSPort!D:D)</f>
        <v>19.2</v>
      </c>
      <c r="I34" s="356">
        <f>LOOKUP(2,1/(NSPort!E:E&lt;&gt;0),NSPort!E:E)</f>
        <v>218.40000000000009</v>
      </c>
      <c r="K34" s="267" t="s">
        <v>461</v>
      </c>
      <c r="L34" s="267">
        <v>1895</v>
      </c>
      <c r="M34" s="540">
        <v>1881</v>
      </c>
      <c r="N34" s="337">
        <f t="shared" si="11"/>
        <v>7.4428495481127059E-3</v>
      </c>
    </row>
    <row r="35" spans="1:14">
      <c r="A35" s="569"/>
      <c r="B35" s="356" t="s">
        <v>256</v>
      </c>
      <c r="C35" s="356">
        <f>LOOKUP(2,1/(价格!AN:AN&lt;&gt;0),价格!AN:AN)</f>
        <v>1730</v>
      </c>
      <c r="D35" s="326">
        <f>INDEX(价格!AN:AN,COUNTA(价格!A:A)+1)-INDEX(价格!AN:AN,COUNTA(价格!A:A)-4)</f>
        <v>30</v>
      </c>
      <c r="E35" s="356" t="s">
        <v>285</v>
      </c>
      <c r="F35" s="356">
        <f>LOOKUP(2,1/(NSPort!G:G&lt;&gt;0),NSPort!G:G)</f>
        <v>167.99999999999997</v>
      </c>
      <c r="G35" s="356">
        <f>LOOKUP(2,1/(NSPort!H:H&lt;&gt;0),NSPort!H:H)</f>
        <v>13.8</v>
      </c>
      <c r="H35" s="356">
        <f>LOOKUP(2,1/(NSPort!I:I&lt;&gt;0),NSPort!I:I)</f>
        <v>11.8</v>
      </c>
      <c r="I35" s="356">
        <f>LOOKUP(2,1/(NSPort!J:J&lt;&gt;0),NSPort!J:J)</f>
        <v>169.99999999999997</v>
      </c>
    </row>
    <row r="36" spans="1:14">
      <c r="A36" s="569" t="s">
        <v>280</v>
      </c>
      <c r="B36" s="356" t="s">
        <v>259</v>
      </c>
      <c r="C36" s="356">
        <f>LOOKUP(2,1/(价格!AW:AW&lt;&gt;0),价格!AW:AW)</f>
        <v>1730</v>
      </c>
      <c r="D36" s="326">
        <f>INDEX(价格!AW:AW,COUNTA(价格!A:A)+1)-INDEX(价格!AW:AW,COUNTA(价格!A:A)-4)</f>
        <v>0</v>
      </c>
      <c r="E36" s="356" t="s">
        <v>286</v>
      </c>
      <c r="F36" s="356">
        <f>LOOKUP(2,1/(NSPort!K:K&lt;&gt;0),NSPort!K:K)</f>
        <v>71.000000000000014</v>
      </c>
      <c r="G36" s="356">
        <f>LOOKUP(2,1/(NSPort!L:L&lt;&gt;0),NSPort!L:L)</f>
        <v>4.4000000000000004</v>
      </c>
      <c r="H36" s="356">
        <f>LOOKUP(2,1/(NSPort!M:M&lt;&gt;0),NSPort!M:M)</f>
        <v>4.2</v>
      </c>
      <c r="I36" s="356">
        <f>LOOKUP(2,1/(NSPort!N:N&lt;&gt;0),NSPort!N:N)</f>
        <v>71.200000000000017</v>
      </c>
    </row>
    <row r="37" spans="1:14">
      <c r="A37" s="569"/>
      <c r="B37" s="356" t="s">
        <v>260</v>
      </c>
      <c r="C37" s="356">
        <f>LOOKUP(2,1/(价格!AX:AX&lt;&gt;0),价格!AX:AX)</f>
        <v>1640</v>
      </c>
      <c r="D37" s="326">
        <f>INDEX(价格!AX:AX,COUNTA(价格!A:A)+1)-INDEX(价格!AX:AX,COUNTA(价格!A:A)-4)</f>
        <v>20</v>
      </c>
      <c r="E37" s="356" t="s">
        <v>287</v>
      </c>
      <c r="F37" s="356">
        <f>LOOKUP(2,1/(NSPort!O:O&lt;&gt;0),NSPort!O:O)</f>
        <v>23</v>
      </c>
      <c r="G37" s="356">
        <f>LOOKUP(2,1/(NSPort!P:P&lt;&gt;0),NSPort!P:P)</f>
        <v>3.1</v>
      </c>
      <c r="H37" s="356">
        <f>LOOKUP(2,1/(NSPort!Q:Q&lt;&gt;0),NSPort!Q:Q)</f>
        <v>0.4</v>
      </c>
      <c r="I37" s="356">
        <f>LOOKUP(2,1/(NSPort!R:R&lt;&gt;0),NSPort!R:R)</f>
        <v>22.6</v>
      </c>
    </row>
    <row r="38" spans="1:14">
      <c r="A38" s="356" t="s">
        <v>279</v>
      </c>
      <c r="B38" s="356" t="s">
        <v>261</v>
      </c>
      <c r="C38" s="356">
        <f>LOOKUP(2,1/(价格!$AT:$AT&lt;&gt;0),价格!$AT:$AT)</f>
        <v>1720</v>
      </c>
      <c r="D38" s="326">
        <f>INDEX(价格!AT:AT,COUNTA(价格!A:A)+1)-INDEX(价格!AT:AT,COUNTA(价格!A:A)-4)</f>
        <v>0</v>
      </c>
      <c r="E38" s="356" t="s">
        <v>288</v>
      </c>
      <c r="F38" s="356">
        <f>LOOKUP(2,1/(NSPort!X:X&lt;&gt;0),NSPort!X:X)</f>
        <v>98.399999999999977</v>
      </c>
      <c r="G38" s="356">
        <f>LOOKUP(2,1/(NSPort!Y:Y&lt;&gt;0),NSPort!Y:Y)</f>
        <v>11.2</v>
      </c>
      <c r="H38" s="356">
        <f>LOOKUP(2,1/(NSPort!Z:Z&lt;&gt;0),NSPort!Z:Z)</f>
        <v>16.600000000000001</v>
      </c>
      <c r="I38" s="356">
        <f>LOOKUP(2,1/(NSPort!AA:AA&lt;&gt;0),NSPort!AA:AA)</f>
        <v>92.999999999999972</v>
      </c>
      <c r="J38" s="288"/>
    </row>
    <row r="39" spans="1:14">
      <c r="A39" s="569" t="s">
        <v>277</v>
      </c>
      <c r="B39" s="356" t="s">
        <v>266</v>
      </c>
      <c r="C39" s="356">
        <f>LOOKUP(2,1/(价格!$AY:$AY&lt;&gt;0),价格!$AY:$AY)</f>
        <v>1850</v>
      </c>
      <c r="D39" s="326">
        <f>INDEX(价格!AY:AY,COUNTA(价格!A:A)+1)-INDEX(价格!AY:AY,COUNTA(价格!A:A)-4)</f>
        <v>0</v>
      </c>
      <c r="E39" s="356" t="s">
        <v>289</v>
      </c>
      <c r="F39" s="356">
        <f>LOOKUP(2,1/(NSPort!AN:AN&lt;&gt;0),NSPort!AN:AN)</f>
        <v>23.300000000000011</v>
      </c>
      <c r="G39" s="356">
        <f>LOOKUP(2,1/(NSPort!AO:AO&lt;&gt;0),NSPort!AO:AO)</f>
        <v>5.0999999999999996</v>
      </c>
      <c r="H39" s="356">
        <f>LOOKUP(2,1/(NSPort!AP:AP&lt;&gt;0),NSPort!AP:AP)</f>
        <v>7.1</v>
      </c>
      <c r="I39" s="356">
        <f>LOOKUP(2,1/(NSPort!AQ:AQ&lt;&gt;0),NSPort!AQ:AQ)</f>
        <v>21.300000000000011</v>
      </c>
      <c r="J39" s="288"/>
    </row>
    <row r="40" spans="1:14">
      <c r="A40" s="569"/>
      <c r="B40" s="356" t="s">
        <v>430</v>
      </c>
      <c r="C40" s="356">
        <f>LOOKUP(2,1/(价格!$AZ:$AZ&lt;&gt;0),价格!$AZ:$AZ)</f>
        <v>1820</v>
      </c>
      <c r="D40" s="326">
        <f>INDEX(价格!AZ:AZ,COUNTA(价格!A:A)+1)-INDEX(价格!AZ:AZ,COUNTA(价格!A:A)-4)</f>
        <v>-30</v>
      </c>
      <c r="E40" s="356" t="s">
        <v>290</v>
      </c>
      <c r="F40" s="356">
        <f>LOOKUP(2,1/(NSPort!AJ:AJ&lt;&gt;0),NSPort!AJ:AJ)</f>
        <v>18.899999999999984</v>
      </c>
      <c r="G40" s="356">
        <f>LOOKUP(2,1/(NSPort!AK:AK&lt;&gt;0),NSPort!AK:AK)</f>
        <v>4.9000000000000004</v>
      </c>
      <c r="H40" s="356">
        <f>LOOKUP(2,1/(NSPort!AL:AL&lt;&gt;0),NSPort!AL:AL)</f>
        <v>3.1</v>
      </c>
      <c r="I40" s="356">
        <f>LOOKUP(2,1/(NSPort!AM:AM&lt;&gt;0),NSPort!AM:AM)</f>
        <v>15.799999999999985</v>
      </c>
    </row>
    <row r="41" spans="1:14">
      <c r="A41" s="569" t="s">
        <v>278</v>
      </c>
      <c r="B41" s="356" t="s">
        <v>262</v>
      </c>
      <c r="C41" s="356">
        <f>LOOKUP(2,1/(价格!$BC:$BC&lt;&gt;0),价格!$BC:$BC)</f>
        <v>1970</v>
      </c>
      <c r="D41" s="326">
        <f>INDEX(价格!BC:BC,COUNTA(价格!A:A)+1)-INDEX(价格!BC:BC,COUNTA(价格!A:A)-4)</f>
        <v>30</v>
      </c>
      <c r="E41" s="570" t="s">
        <v>349</v>
      </c>
      <c r="F41" s="570"/>
      <c r="G41" s="357" t="s">
        <v>350</v>
      </c>
      <c r="H41" s="357" t="s">
        <v>351</v>
      </c>
      <c r="I41" s="357" t="s">
        <v>352</v>
      </c>
    </row>
    <row r="42" spans="1:14">
      <c r="A42" s="569"/>
      <c r="B42" s="356" t="s">
        <v>263</v>
      </c>
      <c r="C42" s="356">
        <f>LOOKUP(2,1/(价格!$BD:$BD&lt;&gt;0),价格!$BD:$BD)</f>
        <v>1970</v>
      </c>
      <c r="D42" s="326">
        <f>INDEX(价格!BD:BD,COUNTA(价格!A:A)+1)-INDEX(价格!BD:BD,COUNTA(价格!A:A)-4)</f>
        <v>20</v>
      </c>
      <c r="E42" s="569" t="s">
        <v>347</v>
      </c>
      <c r="F42" s="569"/>
      <c r="G42" s="356">
        <f>INDEX(NSPort!V:V, COUNTA(NSPort!A:A)+1)</f>
        <v>482.20000000000016</v>
      </c>
      <c r="H42" s="356">
        <f>INDEX(NSPort!V:V, COUNTA(NSPort!A:A)-50)</f>
        <v>258.09999999999997</v>
      </c>
      <c r="I42" s="289">
        <f>(G42-H42)/H42</f>
        <v>0.86826811313444485</v>
      </c>
    </row>
    <row r="43" spans="1:14">
      <c r="A43" s="569"/>
      <c r="B43" s="356" t="s">
        <v>264</v>
      </c>
      <c r="C43" s="356">
        <f>LOOKUP(2,1/(价格!$BE:$BE&lt;&gt;0),价格!$BE:$BE)</f>
        <v>1940</v>
      </c>
      <c r="D43" s="326">
        <f>INDEX(价格!BE:BE,COUNTA(价格!A:A)+1)-INDEX(价格!BE:BE,COUNTA(价格!A:A)-4)</f>
        <v>0</v>
      </c>
      <c r="E43" s="569" t="s">
        <v>348</v>
      </c>
      <c r="F43" s="569"/>
      <c r="G43" s="356">
        <f>INDEX(NSPort!AA:AA, COUNTA(NSPort!A:A)+1)+INDEX(NSPort!AM:AM, COUNTA(NSPort!A:A)+1)</f>
        <v>117.29999999999995</v>
      </c>
      <c r="H43" s="356">
        <f>INDEX(NSPort!AA:AA, COUNTA(NSPort!A:A)-50)+INDEX(NSPort!AM:AM, COUNTA(NSPort!A:A)-50)</f>
        <v>57.5</v>
      </c>
      <c r="I43" s="289">
        <f>(G43-H43)/H43</f>
        <v>1.0399999999999991</v>
      </c>
    </row>
    <row r="44" spans="1:14">
      <c r="A44" s="569"/>
      <c r="B44" s="356" t="s">
        <v>265</v>
      </c>
      <c r="C44" s="356">
        <f>LOOKUP(2,1/(价格!BF:BF&lt;&gt;0),价格!BF:BF)</f>
        <v>1930</v>
      </c>
      <c r="D44" s="326">
        <f>INDEX(价格!BF:BF,COUNTA(价格!A:A)+1)-INDEX(价格!BF:BF,COUNTA(价格!A:A)-4)</f>
        <v>0</v>
      </c>
      <c r="E44" s="357" t="s">
        <v>293</v>
      </c>
      <c r="F44" s="357" t="s">
        <v>386</v>
      </c>
      <c r="G44" s="357" t="s">
        <v>296</v>
      </c>
      <c r="H44" s="357" t="s">
        <v>297</v>
      </c>
      <c r="I44" s="357" t="s">
        <v>306</v>
      </c>
    </row>
    <row r="45" spans="1:14">
      <c r="A45" s="569"/>
      <c r="B45" s="356" t="s">
        <v>432</v>
      </c>
      <c r="C45" s="356">
        <f>LOOKUP(2,1/(价格!BB:BB&lt;&gt;0),价格!BB:BB)</f>
        <v>1844</v>
      </c>
      <c r="D45" s="326">
        <f>INDEX(价格!BB:BB,COUNTA(价格!A:A)+1)-INDEX(价格!BB:BB,COUNTA(价格!A:A)-4)</f>
        <v>-12</v>
      </c>
      <c r="E45" s="310" t="s">
        <v>294</v>
      </c>
      <c r="F45" s="356">
        <f>LOOKUP(2,1/(价格!$H:$H&lt;&gt;0),价格!$H:$H)</f>
        <v>1930</v>
      </c>
      <c r="G45" s="356">
        <f>LOOKUP(2,1/(价格!$P:$P&lt;&gt;0),价格!$P:$P)</f>
        <v>42</v>
      </c>
      <c r="H45" s="258">
        <f>LOOKUP(2,1/(价格!$I:$I&lt;&gt;0),价格!$I:$I)</f>
        <v>-12</v>
      </c>
      <c r="I45" s="326">
        <f>INDEX(价格!I:I,COUNTA(价格!$A:$A)+1)-INDEX(价格!I:I,COUNTA(价格!$A:$A)-4)</f>
        <v>12</v>
      </c>
    </row>
    <row r="46" spans="1:14">
      <c r="A46" s="569"/>
      <c r="B46" s="356" t="s">
        <v>435</v>
      </c>
      <c r="C46" s="356">
        <f>LOOKUP(2,1/(价格!BA:BA&lt;&gt;0),价格!BA:BA)</f>
        <v>1898</v>
      </c>
      <c r="D46" s="326">
        <f>INDEX(价格!BA:BA,COUNTA(价格!A:A)+1)-INDEX(价格!BA:BA,COUNTA(价格!A:A)-4)</f>
        <v>-12</v>
      </c>
      <c r="E46" s="356" t="s">
        <v>295</v>
      </c>
      <c r="F46" s="356">
        <f>LOOKUP(2,1/(价格!$L:$L&lt;&gt;0),价格!$L:$L)</f>
        <v>1930</v>
      </c>
      <c r="G46" s="356">
        <f>LOOKUP(2,1/(价格!$Q:$Q&lt;&gt;0),价格!$Q:$Q)</f>
        <v>53</v>
      </c>
      <c r="H46" s="258">
        <f>LOOKUP(2,1/(价格!$M:$M&lt;&gt;0),价格!$M:$M)</f>
        <v>-23</v>
      </c>
      <c r="I46" s="326">
        <f>INDEX(价格!M:M,COUNTA(价格!$A:$A)+1)-INDEX(价格!M:M,COUNTA(价格!$A:$A)-4)</f>
        <v>11</v>
      </c>
    </row>
    <row r="47" spans="1:14">
      <c r="A47" s="569"/>
      <c r="B47" s="356" t="s">
        <v>436</v>
      </c>
      <c r="C47" s="356">
        <f>LOOKUP(2,1/(价格!BG:BG&lt;&gt;0),价格!BG:BG)</f>
        <v>1924</v>
      </c>
      <c r="D47" s="326">
        <f>INDEX(价格!BG:BG,COUNTA(价格!A:A)+1)-INDEX(价格!BG:BG,COUNTA(价格!A:A)-4)</f>
        <v>-16</v>
      </c>
      <c r="E47" s="356" t="s">
        <v>299</v>
      </c>
      <c r="F47" s="356">
        <f>LOOKUP(2,1/(价格!$J:$J&lt;&gt;0),价格!$J:$J)</f>
        <v>1940</v>
      </c>
      <c r="G47" s="356">
        <f>LOOKUP(2,1/(价格!$R:$R&lt;&gt;0),价格!$R:$R)</f>
        <v>40</v>
      </c>
      <c r="H47" s="258">
        <f>LOOKUP(2,1/(价格!$K:$K&lt;&gt;0),价格!$K:$K)</f>
        <v>-20</v>
      </c>
      <c r="I47" s="326">
        <f>INDEX(价格!K:K,COUNTA(价格!$A:$A)+1)-INDEX(价格!K:K,COUNTA(价格!$A:$A)-4)</f>
        <v>12</v>
      </c>
    </row>
    <row r="48" spans="1:14">
      <c r="A48" s="569"/>
      <c r="B48" s="356" t="s">
        <v>434</v>
      </c>
      <c r="C48" s="356">
        <f>LOOKUP(2,1/(价格!BH:BH&lt;&gt;0),价格!BH:BH)</f>
        <v>1950</v>
      </c>
      <c r="D48" s="326">
        <f>INDEX(价格!BH:BH,COUNTA(价格!A:A)+1)-INDEX(价格!BH:BH,COUNTA(价格!A:A)-4)</f>
        <v>0</v>
      </c>
      <c r="E48" s="356" t="s">
        <v>300</v>
      </c>
      <c r="F48" s="356">
        <f>LOOKUP(2,1/(价格!$N:$N&lt;&gt;0),价格!$N:$N)</f>
        <v>1930</v>
      </c>
      <c r="G48" s="356">
        <f>LOOKUP(2,1/(价格!$S:$S&lt;&gt;0),价格!$S:$S)</f>
        <v>39</v>
      </c>
      <c r="H48" s="258">
        <f>LOOKUP(2,1/(价格!$O:$O&lt;&gt;0),价格!$O:$O)</f>
        <v>-9</v>
      </c>
      <c r="I48" s="326">
        <f>INDEX(价格!O:O,COUNTA(价格!$A:$A)+1)-INDEX(价格!O:O,COUNTA(价格!$A:$A)-4)</f>
        <v>10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356</v>
      </c>
    </row>
    <row r="60" spans="1:9">
      <c r="A60" s="277" t="s">
        <v>334</v>
      </c>
      <c r="B60" s="182">
        <f>INDEX(salerate!BM:BM, COUNTA(salerate!BM:BM))</f>
        <v>43555</v>
      </c>
      <c r="C60" s="277" t="s">
        <v>335</v>
      </c>
      <c r="D60" s="277" t="s">
        <v>336</v>
      </c>
      <c r="H60" s="180" t="s">
        <v>345</v>
      </c>
      <c r="I60" s="180" t="s">
        <v>346</v>
      </c>
    </row>
    <row r="61" spans="1:9">
      <c r="A61" s="278" t="s">
        <v>337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338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339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340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341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342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343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U2:U6"/>
    <mergeCell ref="X2:X8"/>
    <mergeCell ref="X9:X12"/>
    <mergeCell ref="U10:U12"/>
    <mergeCell ref="U7:U9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359</v>
      </c>
      <c r="B1" s="301" t="s">
        <v>404</v>
      </c>
      <c r="C1" s="301" t="s">
        <v>383</v>
      </c>
      <c r="D1" s="301" t="s">
        <v>384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43579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575">
        <f ca="1">TODAY()</f>
        <v>43579</v>
      </c>
      <c r="B3" s="576"/>
      <c r="C3" s="577"/>
      <c r="D3" s="583" t="s">
        <v>387</v>
      </c>
      <c r="E3" s="584"/>
      <c r="F3" s="584"/>
      <c r="G3" s="585"/>
      <c r="H3" s="586" t="s">
        <v>113</v>
      </c>
      <c r="I3" s="587"/>
      <c r="J3" s="587"/>
      <c r="K3" s="587"/>
      <c r="L3" s="588"/>
      <c r="M3" s="589" t="s">
        <v>385</v>
      </c>
      <c r="N3" s="590"/>
      <c r="O3" s="591" t="s">
        <v>370</v>
      </c>
      <c r="P3" s="592"/>
      <c r="Q3" s="592"/>
      <c r="R3" s="592"/>
      <c r="S3" s="593"/>
      <c r="T3" s="591" t="s">
        <v>376</v>
      </c>
      <c r="U3" s="592"/>
      <c r="V3" s="592"/>
      <c r="W3" s="592"/>
      <c r="X3" s="592"/>
      <c r="Y3" s="593"/>
      <c r="Z3" s="578" t="s">
        <v>409</v>
      </c>
      <c r="AA3" s="579"/>
      <c r="AB3" s="580"/>
      <c r="AC3" s="581" t="s">
        <v>391</v>
      </c>
      <c r="AD3" s="582"/>
      <c r="AE3" s="582"/>
      <c r="AF3" s="582"/>
    </row>
    <row r="4" spans="1:32" ht="21">
      <c r="A4" s="291"/>
      <c r="B4" s="184" t="s">
        <v>365</v>
      </c>
      <c r="C4" s="184" t="s">
        <v>366</v>
      </c>
      <c r="D4" s="298" t="s">
        <v>130</v>
      </c>
      <c r="E4" s="298" t="s">
        <v>366</v>
      </c>
      <c r="F4" s="298" t="s">
        <v>399</v>
      </c>
      <c r="G4" s="298" t="s">
        <v>400</v>
      </c>
      <c r="H4" s="184" t="s">
        <v>367</v>
      </c>
      <c r="I4" s="184" t="s">
        <v>368</v>
      </c>
      <c r="J4" s="184" t="s">
        <v>369</v>
      </c>
      <c r="K4" s="293" t="s">
        <v>390</v>
      </c>
      <c r="L4" s="294" t="s">
        <v>359</v>
      </c>
      <c r="M4" s="298" t="s">
        <v>130</v>
      </c>
      <c r="N4" s="298" t="s">
        <v>386</v>
      </c>
      <c r="O4" s="184" t="s">
        <v>371</v>
      </c>
      <c r="P4" s="184" t="s">
        <v>372</v>
      </c>
      <c r="Q4" s="184" t="s">
        <v>373</v>
      </c>
      <c r="R4" s="184" t="s">
        <v>374</v>
      </c>
      <c r="S4" s="184" t="s">
        <v>375</v>
      </c>
      <c r="T4" s="184" t="s">
        <v>377</v>
      </c>
      <c r="U4" s="184" t="s">
        <v>378</v>
      </c>
      <c r="V4" s="184" t="s">
        <v>379</v>
      </c>
      <c r="W4" s="184" t="s">
        <v>380</v>
      </c>
      <c r="X4" s="184" t="s">
        <v>381</v>
      </c>
      <c r="Y4" s="184" t="s">
        <v>382</v>
      </c>
      <c r="Z4" s="296" t="s">
        <v>402</v>
      </c>
      <c r="AA4" s="304" t="s">
        <v>360</v>
      </c>
      <c r="AB4" s="305" t="s">
        <v>403</v>
      </c>
      <c r="AC4" s="307" t="s">
        <v>359</v>
      </c>
      <c r="AD4" s="307" t="s">
        <v>174</v>
      </c>
      <c r="AE4" s="136" t="s">
        <v>392</v>
      </c>
      <c r="AF4" s="136" t="s">
        <v>393</v>
      </c>
    </row>
    <row r="5" spans="1:32" ht="21">
      <c r="A5" s="292" t="s">
        <v>361</v>
      </c>
      <c r="B5" s="184">
        <v>1420</v>
      </c>
      <c r="C5" s="184">
        <v>1730</v>
      </c>
      <c r="D5" s="298" t="s">
        <v>388</v>
      </c>
      <c r="E5" s="298">
        <f>LOOKUP(2,1/(价格!20:20&lt;&gt;0),价格!20:20)</f>
        <v>2440</v>
      </c>
      <c r="F5" s="298" t="s">
        <v>401</v>
      </c>
      <c r="G5" s="298" t="str">
        <f>LOOKUP(2,1/(价格!$AH:$AH&lt;&gt;0),价格!$AH:$AH)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405</v>
      </c>
      <c r="N5" s="298">
        <f>LOOKUP(2,1/(价格!$AY:$AY&lt;&gt;0),价格!$AY:$AY)</f>
        <v>1850</v>
      </c>
      <c r="O5" s="184">
        <v>4</v>
      </c>
      <c r="P5" s="184">
        <v>5</v>
      </c>
      <c r="Q5" s="295">
        <f ca="1">C5*0.1*($D$2-$C$2)/365</f>
        <v>-51.663013698630138</v>
      </c>
      <c r="R5" s="295">
        <f ca="1">AA5*0.2*0.1*($D$2-$C$2)/365</f>
        <v>-11.180712328767125</v>
      </c>
      <c r="S5" s="295">
        <f ca="1">SUM(O5:R5)</f>
        <v>-53.843726027397267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1890.3562739726028</v>
      </c>
      <c r="AA5" s="304">
        <f>$B$2</f>
        <v>1872</v>
      </c>
      <c r="AB5" s="306">
        <f ca="1">AA5-Z5</f>
        <v>-18.356273972602821</v>
      </c>
      <c r="AC5" s="299"/>
      <c r="AD5" s="300"/>
      <c r="AE5" s="302"/>
      <c r="AF5" s="302"/>
    </row>
    <row r="6" spans="1:32" ht="21">
      <c r="A6" s="292" t="s">
        <v>362</v>
      </c>
      <c r="B6" s="184">
        <v>1476</v>
      </c>
      <c r="C6" s="184">
        <v>1810</v>
      </c>
      <c r="D6" s="298" t="s">
        <v>235</v>
      </c>
      <c r="E6" s="298">
        <f>LOOKUP(2,1/(价格!27:27&lt;&gt;0),价格!27:27)</f>
        <v>2440</v>
      </c>
      <c r="F6" s="298" t="s">
        <v>395</v>
      </c>
      <c r="G6" s="298">
        <f>LOOKUP(2,1/(价格!$X:$X&lt;&gt;0),价格!$X:$X)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406</v>
      </c>
      <c r="N6" s="298">
        <f>LOOKUP(2,1/(价格!$BC:$BC&lt;&gt;0),价格!$BC:$BC)</f>
        <v>1970</v>
      </c>
      <c r="O6" s="184">
        <v>4</v>
      </c>
      <c r="P6" s="184">
        <v>5</v>
      </c>
      <c r="Q6" s="295">
        <f ca="1">C6*0.1*($D$2-$C$2)/365</f>
        <v>-54.052054794520551</v>
      </c>
      <c r="R6" s="295">
        <f ca="1">AA6*0.2*0.1*($D$2-$C$2)/365</f>
        <v>-11.180712328767125</v>
      </c>
      <c r="S6" s="295">
        <f ca="1">SUM(O6:R6)</f>
        <v>-56.232767123287672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1906.4672328767124</v>
      </c>
      <c r="AA6" s="304">
        <f>$B$2</f>
        <v>1872</v>
      </c>
      <c r="AB6" s="306">
        <f ca="1">AA6-Z6</f>
        <v>-34.467232876712387</v>
      </c>
      <c r="AC6" s="299"/>
      <c r="AD6" s="300"/>
      <c r="AE6" s="302"/>
      <c r="AF6" s="302"/>
    </row>
    <row r="7" spans="1:32" ht="21">
      <c r="A7" s="292" t="s">
        <v>363</v>
      </c>
      <c r="B7" s="184">
        <v>446</v>
      </c>
      <c r="C7" s="184">
        <v>1811</v>
      </c>
      <c r="D7" s="298" t="s">
        <v>118</v>
      </c>
      <c r="E7" s="298">
        <f>LOOKUP(2,1/(价格!$AB:$AB&lt;&gt;0),价格!$AB:$AB)</f>
        <v>1700</v>
      </c>
      <c r="F7" s="298" t="s">
        <v>396</v>
      </c>
      <c r="G7" s="298" t="str">
        <f>LOOKUP(2,1/(价格!$AE:$AE&lt;&gt;0),价格!$AE:$AE)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407</v>
      </c>
      <c r="N7" s="298"/>
      <c r="O7" s="184">
        <v>4</v>
      </c>
      <c r="P7" s="184">
        <v>5</v>
      </c>
      <c r="Q7" s="295">
        <f ca="1">C7*0.1*($D$2-$C$2)/365</f>
        <v>-54.081917808219181</v>
      </c>
      <c r="R7" s="295">
        <f ca="1">AA7*0.2*0.1*($D$2-$C$2)/365</f>
        <v>-11.180712328767125</v>
      </c>
      <c r="S7" s="295">
        <f ca="1">SUM(O7:R7)</f>
        <v>-56.262630136986303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2009.9373698630138</v>
      </c>
      <c r="AA7" s="304">
        <f>$B$2</f>
        <v>1872</v>
      </c>
      <c r="AB7" s="306">
        <f ca="1">AA7-Z7</f>
        <v>-137.93736986301383</v>
      </c>
      <c r="AC7" s="299"/>
      <c r="AD7" s="300"/>
      <c r="AE7" s="302"/>
      <c r="AF7" s="302"/>
    </row>
    <row r="8" spans="1:32" ht="21">
      <c r="A8" s="292" t="s">
        <v>364</v>
      </c>
      <c r="B8" s="184">
        <v>1410</v>
      </c>
      <c r="C8" s="184">
        <v>1769</v>
      </c>
      <c r="D8" s="298"/>
      <c r="E8" s="298"/>
      <c r="F8" s="298" t="s">
        <v>397</v>
      </c>
      <c r="G8" s="298">
        <f>LOOKUP(2,1/(价格!$AW:$AW&lt;&gt;0),价格!$AW:$AW)</f>
        <v>1730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239</v>
      </c>
      <c r="N8" s="298">
        <f>LOOKUP(2,1/(价格!$BD:$BD&lt;&gt;0),价格!$BD:$BD)</f>
        <v>1970</v>
      </c>
      <c r="O8" s="184">
        <v>4</v>
      </c>
      <c r="P8" s="184">
        <v>5</v>
      </c>
      <c r="Q8" s="295">
        <f ca="1">C8*0.1*($D$2-$C$2)/365</f>
        <v>-52.827671232876718</v>
      </c>
      <c r="R8" s="295">
        <f ca="1">AA8*0.2*0.1*($D$2-$C$2)/365</f>
        <v>-11.180712328767125</v>
      </c>
      <c r="S8" s="295">
        <f ca="1">SUM(O8:R8)</f>
        <v>-55.008383561643839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1920.5916164383564</v>
      </c>
      <c r="AA8" s="304">
        <f>$B$2</f>
        <v>1872</v>
      </c>
      <c r="AB8" s="306">
        <f ca="1">AA8-Z8</f>
        <v>-48.591616438356368</v>
      </c>
      <c r="AC8" s="299"/>
      <c r="AD8" s="300"/>
      <c r="AE8" s="302"/>
      <c r="AF8" s="302"/>
    </row>
    <row r="9" spans="1:32" ht="21">
      <c r="A9" s="292" t="s">
        <v>389</v>
      </c>
      <c r="B9" s="184">
        <v>1474</v>
      </c>
      <c r="C9" s="184">
        <v>1811</v>
      </c>
      <c r="D9" s="298" t="s">
        <v>126</v>
      </c>
      <c r="E9" s="298">
        <f>LOOKUP(2,1/(价格!$AK:$AK&lt;&gt;0),价格!$AK:$AK)</f>
        <v>1690</v>
      </c>
      <c r="F9" s="298" t="s">
        <v>398</v>
      </c>
      <c r="G9" s="298">
        <f>LOOKUP(2,1/(价格!$AT:$AT&lt;&gt;0),价格!$AT:$AT)</f>
        <v>1720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408</v>
      </c>
      <c r="N9" s="298">
        <f>LOOKUP(2,1/(价格!$BE:$BE&lt;&gt;0),价格!$BE:$BE)</f>
        <v>1940</v>
      </c>
      <c r="O9" s="184">
        <v>4</v>
      </c>
      <c r="P9" s="184">
        <v>5</v>
      </c>
      <c r="Q9" s="295">
        <f ca="1">C9*0.1*($D$2-$C$2)/365</f>
        <v>-54.081917808219181</v>
      </c>
      <c r="R9" s="295">
        <f ca="1">AA9*0.2*0.1*($D$2-$C$2)/365</f>
        <v>-11.180712328767125</v>
      </c>
      <c r="S9" s="295">
        <f ca="1">SUM(O9:R9)</f>
        <v>-56.262630136986303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1953.3373698630139</v>
      </c>
      <c r="AA9" s="304">
        <f>$B$2</f>
        <v>1872</v>
      </c>
      <c r="AB9" s="306">
        <f ca="1">AA9-Z9</f>
        <v>-81.337369863013919</v>
      </c>
      <c r="AC9" s="299"/>
      <c r="AD9" s="300"/>
      <c r="AE9" s="302"/>
      <c r="AF9" s="302"/>
    </row>
    <row r="15" spans="1:32">
      <c r="A15" s="201">
        <f ca="1">A3</f>
        <v>43579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1700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1730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1690</v>
      </c>
      <c r="F21" s="308" t="str">
        <f t="shared" si="4"/>
        <v>开原益海</v>
      </c>
      <c r="G21" s="308">
        <f t="shared" si="4"/>
        <v>1720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453</v>
      </c>
      <c r="C1" s="490" t="s">
        <v>454</v>
      </c>
      <c r="D1" s="490" t="s">
        <v>455</v>
      </c>
      <c r="E1" s="490" t="s">
        <v>456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E88" sqref="E88"/>
    </sheetView>
  </sheetViews>
  <sheetFormatPr defaultRowHeight="13.5"/>
  <cols>
    <col min="1" max="1" width="11.625" bestFit="1" customWidth="1"/>
    <col min="3" max="3" width="11.125" style="557" customWidth="1"/>
    <col min="4" max="4" width="9" style="557"/>
    <col min="5" max="5" width="17.75" customWidth="1"/>
  </cols>
  <sheetData>
    <row r="1" spans="1:5">
      <c r="B1" t="s">
        <v>457</v>
      </c>
      <c r="C1" s="557" t="s">
        <v>513</v>
      </c>
      <c r="D1" s="557" t="s">
        <v>514</v>
      </c>
      <c r="E1" t="s">
        <v>458</v>
      </c>
    </row>
    <row r="2" spans="1:5">
      <c r="A2" s="201">
        <v>42963</v>
      </c>
      <c r="B2">
        <v>34.909999999999997</v>
      </c>
    </row>
    <row r="3" spans="1:5">
      <c r="A3" s="201">
        <v>42970</v>
      </c>
      <c r="B3">
        <v>34.78</v>
      </c>
      <c r="E3" s="500"/>
    </row>
    <row r="4" spans="1:5">
      <c r="A4" s="201">
        <v>42977</v>
      </c>
      <c r="B4">
        <v>34.76</v>
      </c>
      <c r="E4" s="500"/>
    </row>
    <row r="5" spans="1:5">
      <c r="A5" s="201">
        <v>42984</v>
      </c>
      <c r="B5">
        <v>34.68</v>
      </c>
      <c r="E5" s="500"/>
    </row>
    <row r="6" spans="1:5">
      <c r="A6" s="201">
        <v>42991</v>
      </c>
      <c r="B6">
        <v>34.450000000000003</v>
      </c>
      <c r="E6" s="500"/>
    </row>
    <row r="7" spans="1:5">
      <c r="A7" s="201">
        <v>42998</v>
      </c>
      <c r="B7">
        <v>34.11</v>
      </c>
      <c r="E7" s="500"/>
    </row>
    <row r="8" spans="1:5">
      <c r="A8" s="201">
        <v>43005</v>
      </c>
      <c r="B8">
        <v>33.729999999999997</v>
      </c>
      <c r="E8" s="500"/>
    </row>
    <row r="9" spans="1:5">
      <c r="A9" s="201">
        <v>43017</v>
      </c>
      <c r="B9">
        <v>33.299999999999997</v>
      </c>
      <c r="E9" s="500"/>
    </row>
    <row r="10" spans="1:5">
      <c r="A10" s="201">
        <v>43019</v>
      </c>
      <c r="B10">
        <v>33.01</v>
      </c>
      <c r="E10" s="500"/>
    </row>
    <row r="11" spans="1:5">
      <c r="A11" s="201">
        <v>43026</v>
      </c>
      <c r="B11">
        <v>32.47</v>
      </c>
      <c r="E11" s="500"/>
    </row>
    <row r="12" spans="1:5">
      <c r="A12" s="201">
        <v>43033</v>
      </c>
      <c r="B12">
        <v>32.03</v>
      </c>
      <c r="E12" s="500"/>
    </row>
    <row r="13" spans="1:5">
      <c r="A13" s="201">
        <v>43040</v>
      </c>
      <c r="B13">
        <v>31.55</v>
      </c>
      <c r="E13" s="500"/>
    </row>
    <row r="14" spans="1:5">
      <c r="A14" s="201">
        <v>43047</v>
      </c>
      <c r="B14">
        <v>31.13</v>
      </c>
      <c r="E14" s="500"/>
    </row>
    <row r="15" spans="1:5">
      <c r="A15" s="201">
        <v>43054</v>
      </c>
      <c r="B15">
        <v>30.55</v>
      </c>
      <c r="E15" s="500"/>
    </row>
    <row r="16" spans="1:5">
      <c r="A16" s="201">
        <v>43061</v>
      </c>
      <c r="B16">
        <v>30.58</v>
      </c>
      <c r="E16" s="500"/>
    </row>
    <row r="17" spans="1:5">
      <c r="A17" s="201">
        <v>43096</v>
      </c>
      <c r="B17">
        <v>30.55</v>
      </c>
      <c r="E17" s="500"/>
    </row>
    <row r="18" spans="1:5">
      <c r="A18" s="201">
        <v>43103</v>
      </c>
      <c r="B18">
        <v>30.54</v>
      </c>
      <c r="E18" s="500"/>
    </row>
    <row r="19" spans="1:5">
      <c r="A19" s="201">
        <v>43110</v>
      </c>
      <c r="B19">
        <v>30.6</v>
      </c>
      <c r="E19" s="500"/>
    </row>
    <row r="20" spans="1:5">
      <c r="A20" s="201">
        <v>43117</v>
      </c>
      <c r="E20" s="500"/>
    </row>
    <row r="21" spans="1:5">
      <c r="A21" s="201">
        <v>43124</v>
      </c>
      <c r="B21">
        <v>30.7</v>
      </c>
      <c r="E21" s="500"/>
    </row>
    <row r="22" spans="1:5">
      <c r="A22" s="201">
        <v>43131</v>
      </c>
      <c r="B22">
        <v>30.56</v>
      </c>
      <c r="C22" s="557">
        <v>19.68</v>
      </c>
      <c r="D22" s="557">
        <v>84.13</v>
      </c>
      <c r="E22" s="500"/>
    </row>
    <row r="23" spans="1:5">
      <c r="A23" s="201">
        <v>43138</v>
      </c>
      <c r="B23">
        <v>30.22</v>
      </c>
      <c r="C23" s="557">
        <v>18.690000000000001</v>
      </c>
      <c r="D23" s="557">
        <v>84.13</v>
      </c>
      <c r="E23" s="500"/>
    </row>
    <row r="24" spans="1:5">
      <c r="A24" s="201">
        <v>43145</v>
      </c>
      <c r="E24" s="500"/>
    </row>
    <row r="25" spans="1:5">
      <c r="A25" s="201">
        <v>43152</v>
      </c>
      <c r="B25">
        <v>29.87</v>
      </c>
      <c r="C25" s="557">
        <v>18.170000000000002</v>
      </c>
      <c r="E25" s="500"/>
    </row>
    <row r="26" spans="1:5">
      <c r="A26" s="201">
        <v>43159</v>
      </c>
      <c r="B26">
        <v>29.27</v>
      </c>
      <c r="C26" s="557">
        <v>15.63</v>
      </c>
      <c r="D26" s="557">
        <v>83.43</v>
      </c>
      <c r="E26" s="500"/>
    </row>
    <row r="27" spans="1:5">
      <c r="A27" s="201">
        <v>43166</v>
      </c>
      <c r="C27" s="557">
        <v>15.23</v>
      </c>
      <c r="D27" s="557">
        <v>83.56</v>
      </c>
      <c r="E27" s="500"/>
    </row>
    <row r="28" spans="1:5">
      <c r="A28" s="201">
        <v>43173</v>
      </c>
      <c r="B28">
        <v>28</v>
      </c>
      <c r="C28" s="557">
        <v>14.9</v>
      </c>
      <c r="D28" s="557">
        <v>83.72</v>
      </c>
      <c r="E28" s="500"/>
    </row>
    <row r="29" spans="1:5">
      <c r="A29" s="201">
        <v>43180</v>
      </c>
      <c r="B29">
        <v>27.32</v>
      </c>
      <c r="C29" s="557">
        <v>14.09</v>
      </c>
      <c r="D29" s="557">
        <v>83.93</v>
      </c>
      <c r="E29" s="500"/>
    </row>
    <row r="30" spans="1:5">
      <c r="A30" s="201">
        <v>43187</v>
      </c>
      <c r="B30">
        <v>26.68</v>
      </c>
      <c r="C30" s="557">
        <v>13.91</v>
      </c>
      <c r="D30" s="557">
        <v>84</v>
      </c>
      <c r="E30" s="500"/>
    </row>
    <row r="31" spans="1:5">
      <c r="A31" s="201">
        <v>43194</v>
      </c>
      <c r="B31">
        <v>26.44</v>
      </c>
      <c r="C31" s="557">
        <v>13.88</v>
      </c>
      <c r="D31" s="557">
        <v>84.05</v>
      </c>
      <c r="E31" s="500"/>
    </row>
    <row r="32" spans="1:5">
      <c r="A32" s="201">
        <v>43201</v>
      </c>
      <c r="B32">
        <v>26.07</v>
      </c>
      <c r="C32" s="557">
        <v>13.84</v>
      </c>
      <c r="D32" s="557">
        <v>84.11</v>
      </c>
      <c r="E32" s="500"/>
    </row>
    <row r="33" spans="1:5">
      <c r="A33" s="201">
        <v>43208</v>
      </c>
      <c r="B33">
        <v>25.77</v>
      </c>
      <c r="C33" s="557">
        <v>13.79</v>
      </c>
      <c r="D33" s="557">
        <v>84.17</v>
      </c>
      <c r="E33" s="500"/>
    </row>
    <row r="34" spans="1:5">
      <c r="A34" s="201">
        <v>43215</v>
      </c>
      <c r="B34">
        <v>25.39</v>
      </c>
      <c r="C34" s="557">
        <v>13.76</v>
      </c>
      <c r="D34" s="557">
        <v>84.2</v>
      </c>
      <c r="E34" s="500"/>
    </row>
    <row r="35" spans="1:5">
      <c r="A35" s="201">
        <v>43222</v>
      </c>
      <c r="B35">
        <v>25</v>
      </c>
      <c r="C35" s="557">
        <v>13.74</v>
      </c>
      <c r="D35" s="557">
        <v>84.13</v>
      </c>
      <c r="E35" s="500"/>
    </row>
    <row r="36" spans="1:5">
      <c r="A36" s="201">
        <v>43229</v>
      </c>
      <c r="B36">
        <v>24.4</v>
      </c>
      <c r="C36" s="557">
        <v>13.67</v>
      </c>
      <c r="D36" s="557">
        <v>84.13</v>
      </c>
      <c r="E36" s="500"/>
    </row>
    <row r="37" spans="1:5">
      <c r="A37" s="201">
        <v>43236</v>
      </c>
      <c r="B37">
        <v>23.74</v>
      </c>
      <c r="C37" s="557">
        <v>13.58</v>
      </c>
      <c r="D37" s="557">
        <v>84.01</v>
      </c>
      <c r="E37" s="500"/>
    </row>
    <row r="38" spans="1:5">
      <c r="A38" s="201">
        <v>43243</v>
      </c>
      <c r="B38">
        <v>23.52</v>
      </c>
      <c r="C38" s="557">
        <v>14.17</v>
      </c>
      <c r="D38" s="557">
        <v>83.8</v>
      </c>
      <c r="E38" s="500"/>
    </row>
    <row r="39" spans="1:5">
      <c r="A39" s="201">
        <v>43250</v>
      </c>
      <c r="B39">
        <v>23.73</v>
      </c>
      <c r="C39" s="557">
        <v>15.33</v>
      </c>
      <c r="D39" s="557">
        <v>83.57</v>
      </c>
      <c r="E39" s="500"/>
    </row>
    <row r="40" spans="1:5">
      <c r="A40" s="201">
        <v>43257</v>
      </c>
      <c r="B40">
        <v>23.89</v>
      </c>
      <c r="C40" s="557">
        <v>15.26</v>
      </c>
      <c r="D40" s="557">
        <v>83.43</v>
      </c>
      <c r="E40" s="500"/>
    </row>
    <row r="41" spans="1:5">
      <c r="A41" s="201">
        <v>43264</v>
      </c>
      <c r="B41">
        <v>24.01</v>
      </c>
      <c r="C41" s="557">
        <v>15.26</v>
      </c>
      <c r="D41" s="557">
        <v>83.27</v>
      </c>
      <c r="E41" s="500"/>
    </row>
    <row r="42" spans="1:5">
      <c r="A42" s="201">
        <v>43271</v>
      </c>
      <c r="B42">
        <v>24.05</v>
      </c>
      <c r="C42" s="557">
        <v>15.29</v>
      </c>
      <c r="D42" s="557">
        <v>83.19</v>
      </c>
      <c r="E42" s="500"/>
    </row>
    <row r="43" spans="1:5">
      <c r="A43" s="201">
        <v>43278</v>
      </c>
      <c r="B43">
        <v>24.06</v>
      </c>
      <c r="C43" s="557">
        <v>15.26</v>
      </c>
      <c r="D43" s="557">
        <v>83.16</v>
      </c>
      <c r="E43" s="500"/>
    </row>
    <row r="44" spans="1:5">
      <c r="A44" s="201">
        <v>43285</v>
      </c>
      <c r="B44">
        <v>23.97</v>
      </c>
      <c r="C44" s="557">
        <v>15.29</v>
      </c>
      <c r="D44" s="557">
        <v>83.05</v>
      </c>
      <c r="E44" s="500"/>
    </row>
    <row r="45" spans="1:5">
      <c r="A45" s="201">
        <v>43292</v>
      </c>
      <c r="B45">
        <v>24.26</v>
      </c>
      <c r="C45" s="557">
        <v>17.239999999999998</v>
      </c>
      <c r="D45" s="557">
        <v>83.32</v>
      </c>
      <c r="E45" s="500"/>
    </row>
    <row r="46" spans="1:5">
      <c r="A46" s="201">
        <v>43299</v>
      </c>
      <c r="B46">
        <v>24.26</v>
      </c>
      <c r="C46" s="557">
        <v>16.88</v>
      </c>
      <c r="D46" s="557">
        <v>83.26</v>
      </c>
      <c r="E46" s="500"/>
    </row>
    <row r="47" spans="1:5">
      <c r="A47" s="201">
        <v>43306</v>
      </c>
      <c r="B47">
        <v>24.59</v>
      </c>
      <c r="C47" s="557">
        <v>17.79</v>
      </c>
      <c r="D47" s="557">
        <v>83.17</v>
      </c>
      <c r="E47" s="500"/>
    </row>
    <row r="48" spans="1:5">
      <c r="A48" s="201">
        <v>43313</v>
      </c>
      <c r="B48">
        <v>24.82</v>
      </c>
      <c r="C48" s="557">
        <v>17.91</v>
      </c>
      <c r="D48" s="557">
        <v>83.09</v>
      </c>
      <c r="E48" s="500"/>
    </row>
    <row r="49" spans="1:5">
      <c r="A49" s="201">
        <v>43320</v>
      </c>
      <c r="B49">
        <v>25.2</v>
      </c>
      <c r="C49" s="557">
        <v>18.63</v>
      </c>
      <c r="D49" s="557">
        <v>82.98</v>
      </c>
      <c r="E49" s="500"/>
    </row>
    <row r="50" spans="1:5">
      <c r="A50" s="201">
        <v>43327</v>
      </c>
      <c r="B50">
        <v>25.5</v>
      </c>
      <c r="C50" s="557">
        <v>18.86</v>
      </c>
      <c r="D50" s="557">
        <v>82.78</v>
      </c>
      <c r="E50" s="500"/>
    </row>
    <row r="51" spans="1:5">
      <c r="A51" s="201">
        <v>43334</v>
      </c>
      <c r="C51" s="557">
        <v>18.71</v>
      </c>
      <c r="D51" s="557">
        <v>82.7</v>
      </c>
      <c r="E51" s="500"/>
    </row>
    <row r="52" spans="1:5">
      <c r="A52" s="201">
        <v>43341</v>
      </c>
      <c r="B52">
        <v>25.66</v>
      </c>
      <c r="C52" s="557">
        <v>18.5</v>
      </c>
      <c r="D52" s="557">
        <v>81.3</v>
      </c>
      <c r="E52" s="500"/>
    </row>
    <row r="53" spans="1:5">
      <c r="A53" s="201">
        <v>43348</v>
      </c>
      <c r="B53">
        <v>25.74</v>
      </c>
      <c r="C53" s="557">
        <v>19.059999999999999</v>
      </c>
      <c r="D53" s="557">
        <v>82.34</v>
      </c>
      <c r="E53" s="500"/>
    </row>
    <row r="54" spans="1:5">
      <c r="A54" s="201">
        <v>43355</v>
      </c>
      <c r="B54">
        <v>25.72</v>
      </c>
      <c r="C54" s="557">
        <v>19.16</v>
      </c>
      <c r="D54" s="557">
        <v>82.05</v>
      </c>
      <c r="E54" s="500"/>
    </row>
    <row r="55" spans="1:5">
      <c r="A55" s="201">
        <v>43362</v>
      </c>
      <c r="B55">
        <v>25.54</v>
      </c>
      <c r="C55" s="557">
        <v>19.38</v>
      </c>
      <c r="D55" s="557">
        <v>81.739999999999995</v>
      </c>
      <c r="E55" s="500"/>
    </row>
    <row r="56" spans="1:5">
      <c r="A56" s="201">
        <v>43369</v>
      </c>
      <c r="C56" s="557">
        <v>19.309999999999999</v>
      </c>
      <c r="D56" s="557">
        <v>81.83</v>
      </c>
      <c r="E56" s="500"/>
    </row>
    <row r="57" spans="1:5">
      <c r="A57" s="201">
        <v>43376</v>
      </c>
      <c r="B57">
        <v>25.3</v>
      </c>
      <c r="E57" s="500"/>
    </row>
    <row r="58" spans="1:5">
      <c r="A58" s="201">
        <v>43383</v>
      </c>
      <c r="B58">
        <v>25.06</v>
      </c>
      <c r="C58" s="557">
        <v>19.170000000000002</v>
      </c>
      <c r="D58" s="557">
        <v>80.650000000000006</v>
      </c>
      <c r="E58" s="500"/>
    </row>
    <row r="59" spans="1:5">
      <c r="A59" s="201">
        <v>43390</v>
      </c>
      <c r="B59">
        <v>24.69</v>
      </c>
      <c r="C59" s="557">
        <v>19.04</v>
      </c>
      <c r="D59" s="557">
        <v>82.54</v>
      </c>
      <c r="E59" s="500"/>
    </row>
    <row r="60" spans="1:5">
      <c r="A60" s="201">
        <v>43397</v>
      </c>
      <c r="B60">
        <v>24.28</v>
      </c>
      <c r="C60" s="557">
        <v>18.63</v>
      </c>
      <c r="D60" s="557">
        <v>83.5</v>
      </c>
      <c r="E60" s="500"/>
    </row>
    <row r="61" spans="1:5">
      <c r="A61" s="201">
        <v>43404</v>
      </c>
      <c r="B61">
        <v>24.07</v>
      </c>
      <c r="C61" s="557">
        <v>18.45</v>
      </c>
      <c r="D61" s="557">
        <v>83.75</v>
      </c>
      <c r="E61" s="500"/>
    </row>
    <row r="62" spans="1:5">
      <c r="A62" s="201">
        <v>43411</v>
      </c>
      <c r="B62">
        <v>23.83</v>
      </c>
      <c r="C62" s="557">
        <v>18.239999999999998</v>
      </c>
      <c r="D62" s="557">
        <v>83.93</v>
      </c>
      <c r="E62" s="500"/>
    </row>
    <row r="63" spans="1:5">
      <c r="A63" s="201">
        <v>43418</v>
      </c>
      <c r="B63">
        <v>23.58</v>
      </c>
      <c r="C63" s="557">
        <v>17.96</v>
      </c>
      <c r="D63" s="557">
        <v>84.37</v>
      </c>
      <c r="E63" s="500">
        <f>VLOOKUP(A63,价格!A:G,7,FALSE)</f>
        <v>2055</v>
      </c>
    </row>
    <row r="64" spans="1:5">
      <c r="A64" s="201">
        <v>43425</v>
      </c>
      <c r="B64">
        <v>23.2</v>
      </c>
      <c r="C64" s="557">
        <v>17.62</v>
      </c>
      <c r="D64" s="557">
        <v>84.38</v>
      </c>
      <c r="E64" s="500">
        <f>VLOOKUP(A64,价格!A:G,7,FALSE)</f>
        <v>2060</v>
      </c>
    </row>
    <row r="65" spans="1:5">
      <c r="A65" s="201">
        <v>43432</v>
      </c>
      <c r="B65">
        <v>22.82</v>
      </c>
      <c r="C65" s="557">
        <v>17.63</v>
      </c>
      <c r="E65" s="500">
        <f>VLOOKUP(A65,价格!A:G,7,FALSE)</f>
        <v>2060</v>
      </c>
    </row>
    <row r="66" spans="1:5">
      <c r="A66" s="201">
        <v>43439</v>
      </c>
      <c r="B66">
        <v>22.8</v>
      </c>
      <c r="C66" s="557">
        <v>18.010000000000002</v>
      </c>
      <c r="D66" s="557">
        <v>84.85</v>
      </c>
      <c r="E66" s="500">
        <f>VLOOKUP(A66,价格!A:G,7,FALSE)</f>
        <v>2050</v>
      </c>
    </row>
    <row r="67" spans="1:5">
      <c r="A67" s="201">
        <v>43446</v>
      </c>
      <c r="B67">
        <v>22.63</v>
      </c>
      <c r="C67" s="557">
        <v>18.16</v>
      </c>
      <c r="D67" s="557">
        <v>85.05</v>
      </c>
      <c r="E67" s="500">
        <f>VLOOKUP(A67,价格!A:G,7,FALSE)</f>
        <v>2030</v>
      </c>
    </row>
    <row r="68" spans="1:5">
      <c r="A68" s="201">
        <v>43453</v>
      </c>
      <c r="B68">
        <v>22.59</v>
      </c>
      <c r="C68" s="557">
        <v>17.89</v>
      </c>
      <c r="D68" s="557">
        <v>85.12</v>
      </c>
      <c r="E68" s="500">
        <f>VLOOKUP(A68,价格!A:G,7,FALSE)</f>
        <v>2020</v>
      </c>
    </row>
    <row r="69" spans="1:5">
      <c r="A69" s="201">
        <v>43460</v>
      </c>
      <c r="B69">
        <v>22.48</v>
      </c>
      <c r="C69" s="557">
        <v>17.59</v>
      </c>
      <c r="D69" s="557">
        <v>85.18</v>
      </c>
      <c r="E69" s="500">
        <f>VLOOKUP(A69,价格!A:G,7,FALSE)</f>
        <v>1970</v>
      </c>
    </row>
    <row r="70" spans="1:5">
      <c r="A70" s="201">
        <v>43467</v>
      </c>
      <c r="B70">
        <v>22.44</v>
      </c>
      <c r="C70" s="557">
        <v>17.579999999999998</v>
      </c>
      <c r="D70" s="557">
        <v>84.98</v>
      </c>
      <c r="E70" s="500">
        <f>VLOOKUP(A70,价格!A:G,7,FALSE)</f>
        <v>1985</v>
      </c>
    </row>
    <row r="71" spans="1:5">
      <c r="A71" s="201">
        <v>43474</v>
      </c>
      <c r="B71">
        <v>22.22</v>
      </c>
      <c r="C71" s="557">
        <v>17.010000000000002</v>
      </c>
      <c r="D71" s="557">
        <v>84.89</v>
      </c>
      <c r="E71" s="500">
        <f>VLOOKUP(A71,价格!A:G,7,FALSE)</f>
        <v>1990</v>
      </c>
    </row>
    <row r="72" spans="1:5">
      <c r="A72" s="201">
        <v>43481</v>
      </c>
      <c r="B72">
        <v>22.02</v>
      </c>
      <c r="C72" s="557">
        <v>16.37</v>
      </c>
      <c r="D72" s="557">
        <v>84.41</v>
      </c>
      <c r="E72" s="500">
        <f>VLOOKUP(A72,价格!A:G,7,FALSE)</f>
        <v>1970</v>
      </c>
    </row>
    <row r="73" spans="1:5">
      <c r="A73" s="201">
        <v>43488</v>
      </c>
      <c r="B73">
        <v>21.74</v>
      </c>
      <c r="C73" s="557">
        <v>15.39</v>
      </c>
      <c r="D73" s="557">
        <v>84.18</v>
      </c>
      <c r="E73" s="500">
        <f>VLOOKUP(A73,价格!A:G,7,FALSE)</f>
        <v>1970</v>
      </c>
    </row>
    <row r="74" spans="1:5">
      <c r="A74" s="201">
        <v>43495</v>
      </c>
      <c r="C74" s="557">
        <v>15.35</v>
      </c>
      <c r="D74" s="557">
        <v>83.79</v>
      </c>
      <c r="E74" s="500">
        <f>VLOOKUP(A74,价格!A:G,7,FALSE)</f>
        <v>1970</v>
      </c>
    </row>
    <row r="75" spans="1:5">
      <c r="A75" s="201">
        <v>43502</v>
      </c>
      <c r="B75">
        <v>21.59</v>
      </c>
      <c r="E75" s="500" t="e">
        <f>VLOOKUP(A75,价格!A:G,7,FALSE)</f>
        <v>#N/A</v>
      </c>
    </row>
    <row r="76" spans="1:5">
      <c r="A76" s="201">
        <v>43509</v>
      </c>
      <c r="B76">
        <v>22.37</v>
      </c>
      <c r="C76" s="557">
        <v>16.27</v>
      </c>
      <c r="D76" s="557">
        <v>83.19</v>
      </c>
      <c r="E76" s="500">
        <f>VLOOKUP(A76,价格!A:G,7,FALSE)</f>
        <v>1970</v>
      </c>
    </row>
    <row r="77" spans="1:5">
      <c r="A77" s="201">
        <v>43516</v>
      </c>
      <c r="B77">
        <v>23.57</v>
      </c>
      <c r="E77" s="500">
        <f>VLOOKUP(A77,价格!A:G,7,FALSE)</f>
        <v>1930</v>
      </c>
    </row>
    <row r="78" spans="1:5">
      <c r="A78" s="201">
        <v>43523</v>
      </c>
      <c r="B78">
        <v>24.61</v>
      </c>
      <c r="C78" s="557">
        <v>15.94</v>
      </c>
      <c r="D78" s="557">
        <v>83.04</v>
      </c>
      <c r="E78" s="500">
        <f>VLOOKUP(A78,价格!A:G,7,FALSE)</f>
        <v>1870</v>
      </c>
    </row>
    <row r="79" spans="1:5">
      <c r="A79" s="201">
        <v>43530</v>
      </c>
      <c r="B79">
        <v>25.84</v>
      </c>
      <c r="C79" s="557">
        <v>17.39</v>
      </c>
      <c r="D79" s="557">
        <v>83.14</v>
      </c>
      <c r="E79" s="500">
        <f>VLOOKUP(A79,价格!A:G,7,FALSE)</f>
        <v>1880</v>
      </c>
    </row>
    <row r="80" spans="1:5">
      <c r="A80" s="201">
        <v>43537</v>
      </c>
      <c r="B80">
        <v>29.49</v>
      </c>
      <c r="C80" s="557">
        <v>20.14</v>
      </c>
      <c r="D80" s="557">
        <v>83.38</v>
      </c>
      <c r="E80" s="500">
        <f>VLOOKUP(A80,价格!A:G,7,FALSE)</f>
        <v>1870</v>
      </c>
    </row>
    <row r="81" spans="1:5">
      <c r="A81" s="201">
        <v>43544</v>
      </c>
      <c r="B81">
        <v>31.91</v>
      </c>
      <c r="C81" s="557">
        <v>20.62</v>
      </c>
      <c r="D81" s="557">
        <v>83.59</v>
      </c>
      <c r="E81" s="500">
        <f>VLOOKUP(A81,价格!A:G,7,FALSE)</f>
        <v>1890</v>
      </c>
    </row>
    <row r="82" spans="1:5">
      <c r="A82" s="201">
        <v>43551</v>
      </c>
      <c r="B82">
        <v>34.159999999999997</v>
      </c>
      <c r="C82" s="557">
        <v>20.32</v>
      </c>
      <c r="D82" s="557">
        <v>84.12</v>
      </c>
      <c r="E82" s="500">
        <f>VLOOKUP(A82,价格!A:G,7,FALSE)</f>
        <v>1870</v>
      </c>
    </row>
    <row r="83" spans="1:5">
      <c r="A83" s="201">
        <v>43558</v>
      </c>
      <c r="B83">
        <v>35.61</v>
      </c>
      <c r="C83" s="557">
        <v>20.399999999999999</v>
      </c>
      <c r="D83" s="557">
        <v>84.24</v>
      </c>
      <c r="E83" s="534">
        <f>VLOOKUP(A83,价格!A:G,7,FALSE)</f>
        <v>1850</v>
      </c>
    </row>
    <row r="84" spans="1:5">
      <c r="A84" s="201">
        <v>43565</v>
      </c>
      <c r="B84">
        <v>36.340000000000003</v>
      </c>
      <c r="C84" s="557">
        <v>20.28</v>
      </c>
      <c r="D84" s="557">
        <v>84.34</v>
      </c>
      <c r="E84" s="534">
        <f>VLOOKUP(A84,价格!A:G,7,FALSE)</f>
        <v>1860</v>
      </c>
    </row>
    <row r="85" spans="1:5">
      <c r="A85" s="201">
        <v>43572</v>
      </c>
      <c r="C85" s="557">
        <v>19.850000000000001</v>
      </c>
      <c r="D85" s="557">
        <v>84.4</v>
      </c>
      <c r="E85" s="534">
        <f>VLOOKUP(A85,价格!A:G,7,FALSE)</f>
        <v>1890</v>
      </c>
    </row>
    <row r="86" spans="1:5">
      <c r="A86" s="201"/>
      <c r="E86" s="500"/>
    </row>
    <row r="87" spans="1:5">
      <c r="A87" s="201"/>
      <c r="E87" s="500"/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F32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359</v>
      </c>
      <c r="B1" s="301">
        <f>INDEX(价格!$B:$B, COUNTA(价格!$A:$A)+1)</f>
        <v>1810</v>
      </c>
      <c r="C1" s="622">
        <f ca="1">TODAY()</f>
        <v>43579</v>
      </c>
      <c r="D1" s="291"/>
      <c r="E1" s="292" t="s">
        <v>361</v>
      </c>
      <c r="F1" s="292" t="s">
        <v>438</v>
      </c>
      <c r="G1" s="292" t="s">
        <v>362</v>
      </c>
      <c r="H1" s="292" t="s">
        <v>363</v>
      </c>
      <c r="I1" s="292" t="s">
        <v>364</v>
      </c>
      <c r="J1" s="292" t="s">
        <v>389</v>
      </c>
      <c r="L1" s="622">
        <f ca="1">C1</f>
        <v>43579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418</v>
      </c>
      <c r="U1" t="s">
        <v>361</v>
      </c>
      <c r="V1" t="s">
        <v>362</v>
      </c>
      <c r="W1" t="s">
        <v>363</v>
      </c>
      <c r="X1" t="s">
        <v>419</v>
      </c>
      <c r="Y1" t="s">
        <v>364</v>
      </c>
      <c r="Z1" t="s">
        <v>421</v>
      </c>
      <c r="AA1" t="s">
        <v>439</v>
      </c>
    </row>
    <row r="2" spans="1:27" ht="16.5">
      <c r="A2" s="543" t="s">
        <v>440</v>
      </c>
      <c r="B2" s="543">
        <v>1874</v>
      </c>
      <c r="C2" s="622"/>
      <c r="D2" s="184" t="s">
        <v>365</v>
      </c>
      <c r="E2" s="184"/>
      <c r="F2" s="378"/>
      <c r="G2" s="184"/>
      <c r="H2" s="350"/>
      <c r="I2" s="350"/>
      <c r="J2" s="184"/>
      <c r="L2" s="622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383</v>
      </c>
      <c r="B3" s="303">
        <f ca="1">TODAY()</f>
        <v>43579</v>
      </c>
      <c r="C3" s="622"/>
      <c r="D3" s="184" t="s">
        <v>366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622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384</v>
      </c>
      <c r="B4" s="303">
        <v>43590</v>
      </c>
      <c r="C4" s="622"/>
      <c r="D4" s="184" t="s">
        <v>411</v>
      </c>
      <c r="E4" s="184">
        <f>E3-INDEX(U:U,COUNTA(U:U))</f>
        <v>-16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622"/>
      <c r="M4" s="315" t="str">
        <f t="shared" si="2"/>
        <v>较昨日变化</v>
      </c>
      <c r="N4" s="630" t="s">
        <v>441</v>
      </c>
      <c r="O4" s="631"/>
      <c r="P4" s="631"/>
      <c r="Q4" s="631"/>
      <c r="R4" s="632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3" t="s">
        <v>413</v>
      </c>
      <c r="B5" s="544">
        <v>1874</v>
      </c>
      <c r="C5" s="623" t="s">
        <v>387</v>
      </c>
      <c r="D5" s="298" t="s">
        <v>130</v>
      </c>
      <c r="E5" s="298" t="s">
        <v>388</v>
      </c>
      <c r="F5" s="379"/>
      <c r="G5" s="298" t="s">
        <v>235</v>
      </c>
      <c r="H5" s="298" t="s">
        <v>118</v>
      </c>
      <c r="I5" s="298"/>
      <c r="J5" s="298" t="s">
        <v>126</v>
      </c>
      <c r="L5" s="628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479</v>
      </c>
      <c r="B6" s="523">
        <f ca="1">(B1+B2*0.2)*0.08*(B4-B3-1)/365</f>
        <v>4.788602739726028</v>
      </c>
      <c r="C6" s="623"/>
      <c r="D6" s="298" t="s">
        <v>366</v>
      </c>
      <c r="E6" s="298">
        <f>LOOKUP(2,1/(价格!V:V&lt;&gt;0),价格!V:V)</f>
        <v>1610</v>
      </c>
      <c r="F6" s="379"/>
      <c r="G6" s="298">
        <f>LOOKUP(2,1/(价格!W:W&lt;&gt;0),价格!W:W)</f>
        <v>1620</v>
      </c>
      <c r="H6" s="298">
        <f>LOOKUP(2,1/(价格!$AB:$AB&lt;&gt;0),价格!$AB:$AB)</f>
        <v>1700</v>
      </c>
      <c r="I6" s="298"/>
      <c r="J6" s="298">
        <f>LOOKUP(2,1/(价格!$AK:$AK&lt;&gt;0),价格!$AK:$AK)</f>
        <v>1690</v>
      </c>
      <c r="L6" s="628"/>
      <c r="M6" s="327" t="str">
        <f t="shared" si="3"/>
        <v>锦州港价格</v>
      </c>
      <c r="N6" s="625">
        <f t="shared" si="3"/>
        <v>1810</v>
      </c>
      <c r="O6" s="625"/>
      <c r="P6" s="625"/>
      <c r="Q6" s="625"/>
      <c r="R6" s="625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1" t="s">
        <v>489</v>
      </c>
      <c r="B7" s="524">
        <f ca="1">MIN(B4-B3-5,20)</f>
        <v>6</v>
      </c>
      <c r="C7" s="623"/>
      <c r="D7" s="298" t="s">
        <v>410</v>
      </c>
      <c r="E7" s="298">
        <f>INDEX(价格!$V:$V, COUNTA(价格!$A:$A)+1)-INDEX(价格!$V:$V, COUNTA(价格!$A:$A))</f>
        <v>0</v>
      </c>
      <c r="F7" s="379"/>
      <c r="G7" s="325">
        <f>INDEX(价格!$W:$W, COUNTA(价格!$A:$A)+1)-INDEX(价格!$W:$W, COUNTA(价格!$A:$A))</f>
        <v>0</v>
      </c>
      <c r="H7" s="325">
        <f>INDEX(价格!$AB:$AB, COUNTA(价格!$A:$A)+1)-INDEX(价格!$AB:$AB, COUNTA(价格!$A:$A))</f>
        <v>0</v>
      </c>
      <c r="I7" s="325"/>
      <c r="J7" s="325">
        <f>INDEX(价格!$AK:$AK, COUNTA(价格!$A:$A)+1)-INDEX(价格!$AK:$AK, COUNTA(价格!$A:$A))</f>
        <v>0</v>
      </c>
      <c r="L7" s="628"/>
      <c r="M7" s="329" t="str">
        <f t="shared" si="3"/>
        <v>较昨日变化</v>
      </c>
      <c r="N7" s="613">
        <f t="shared" si="3"/>
        <v>10</v>
      </c>
      <c r="O7" s="613"/>
      <c r="P7" s="613"/>
      <c r="Q7" s="613"/>
      <c r="R7" s="613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1" t="s">
        <v>490</v>
      </c>
      <c r="B8" s="524">
        <f ca="1">MIN(B4-B3,5)</f>
        <v>5</v>
      </c>
      <c r="C8" s="623"/>
      <c r="D8" s="298" t="s">
        <v>399</v>
      </c>
      <c r="E8" s="298" t="s">
        <v>401</v>
      </c>
      <c r="F8" s="379"/>
      <c r="G8" s="298" t="s">
        <v>395</v>
      </c>
      <c r="H8" s="298" t="s">
        <v>396</v>
      </c>
      <c r="I8" s="298" t="s">
        <v>397</v>
      </c>
      <c r="J8" s="298" t="s">
        <v>398</v>
      </c>
      <c r="L8" s="629" t="str">
        <f>C31</f>
        <v>期货1905</v>
      </c>
      <c r="M8" s="323" t="str">
        <f>D31</f>
        <v>我司交割成本</v>
      </c>
      <c r="N8" s="435">
        <f ca="1">I31</f>
        <v>1966.9884383561646</v>
      </c>
      <c r="O8" s="352">
        <f ca="1">E31</f>
        <v>1929.3021369863013</v>
      </c>
      <c r="P8" s="352">
        <f ca="1">J31</f>
        <v>2042.238575342466</v>
      </c>
      <c r="Q8" s="352">
        <f ca="1">G31</f>
        <v>1986.8837808219178</v>
      </c>
      <c r="R8" s="352">
        <f ca="1">H31</f>
        <v>2060.7240547945203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1" t="s">
        <v>491</v>
      </c>
      <c r="B9" s="523">
        <v>27.2</v>
      </c>
      <c r="C9" s="623"/>
      <c r="D9" s="298" t="s">
        <v>400</v>
      </c>
      <c r="E9" s="298" t="str">
        <f>LOOKUP(2,1/(价格!$AH:$AH&lt;&gt;0),价格!$AH:$AH)</f>
        <v>停收</v>
      </c>
      <c r="F9" s="379"/>
      <c r="G9" s="298">
        <f>LOOKUP(2,1/(价格!$X:$X&lt;&gt;0),价格!$X:$X)</f>
        <v>1630</v>
      </c>
      <c r="H9" s="298" t="str">
        <f>LOOKUP(2,1/(价格!$AE:$AE&lt;&gt;0),价格!$AE:$AE)</f>
        <v>停收</v>
      </c>
      <c r="I9" s="298">
        <f>LOOKUP(2,1/(价格!$AW:$AW&lt;&gt;0),价格!$AW:$AW)</f>
        <v>1730</v>
      </c>
      <c r="J9" s="298">
        <f>LOOKUP(2,1/(价格!$AT:$AT&lt;&gt;0),价格!$AT:$AT)</f>
        <v>1720</v>
      </c>
      <c r="L9" s="629"/>
      <c r="M9" s="334" t="str">
        <f t="shared" ref="M9:N11" si="4">D32</f>
        <v>期货价格</v>
      </c>
      <c r="N9" s="626">
        <f t="shared" si="4"/>
        <v>1874</v>
      </c>
      <c r="O9" s="626"/>
      <c r="P9" s="626"/>
      <c r="Q9" s="626"/>
      <c r="R9" s="626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492</v>
      </c>
      <c r="B10" s="542">
        <f ca="1">B6+B9+0.2*B7+0.6*B8</f>
        <v>36.188602739726029</v>
      </c>
      <c r="C10" s="623"/>
      <c r="D10" s="298" t="s">
        <v>410</v>
      </c>
      <c r="E10" s="298">
        <f>INDEX(价格!$AH:$AH, COUNTA(价格!$A:$A)+1)-INDEX(价格!$AH:$AH, COUNTA(价格!$A:$A))</f>
        <v>0</v>
      </c>
      <c r="F10" s="379"/>
      <c r="G10" s="298">
        <f>INDEX(价格!$X:$X, COUNTA(价格!$A:$A)+1)-INDEX(价格!$X:$X, COUNTA(价格!$A:$A))</f>
        <v>0</v>
      </c>
      <c r="H10" s="298">
        <f>INDEX(价格!$AE:$AE, COUNTA(价格!$A:$A)+1)-INDEX(价格!$AE:$AE, COUNTA(价格!$A:$A))</f>
        <v>0</v>
      </c>
      <c r="I10" s="298">
        <f>INDEX(价格!$AW:$AW, COUNTA(价格!$A:$A)+1)-INDEX(价格!$AW:$AW, COUNTA(价格!$A:$A))</f>
        <v>0</v>
      </c>
      <c r="J10" s="298">
        <f>INDEX(价格!$AT:$AT, COUNTA(价格!$A:$A)+1)-INDEX(价格!$AT:$AT, COUNTA(价格!$A:$A))</f>
        <v>0</v>
      </c>
      <c r="L10" s="629"/>
      <c r="M10" s="333" t="str">
        <f t="shared" si="4"/>
        <v>较昨日变化</v>
      </c>
      <c r="N10" s="613">
        <f t="shared" si="4"/>
        <v>0</v>
      </c>
      <c r="O10" s="613"/>
      <c r="P10" s="613"/>
      <c r="Q10" s="613"/>
      <c r="R10" s="613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474</v>
      </c>
      <c r="B11" s="527">
        <f>INDEX(价格!$D:$D, COUNTA(价格!$A:$A)+1)</f>
        <v>1810</v>
      </c>
      <c r="C11" s="604" t="s">
        <v>113</v>
      </c>
      <c r="D11" s="184" t="s">
        <v>367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29"/>
      <c r="M11" s="335" t="str">
        <f t="shared" si="4"/>
        <v>交割价差</v>
      </c>
      <c r="N11" s="332">
        <f ca="1">I34</f>
        <v>-92.988438356164579</v>
      </c>
      <c r="O11" s="332">
        <f ca="1">E34</f>
        <v>-55.302136986301321</v>
      </c>
      <c r="P11" s="332">
        <f ca="1">J34</f>
        <v>-168.23857534246599</v>
      </c>
      <c r="Q11" s="332">
        <f ca="1">G34</f>
        <v>-112.88378082191775</v>
      </c>
      <c r="R11" s="332">
        <f ca="1">H34</f>
        <v>-186.72405479452027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478</v>
      </c>
      <c r="B12" s="348">
        <v>1914</v>
      </c>
      <c r="C12" s="604"/>
      <c r="D12" s="184" t="s">
        <v>368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27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09" t="s">
        <v>463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475</v>
      </c>
      <c r="B13" s="201">
        <f ca="1">TODAY()</f>
        <v>43579</v>
      </c>
      <c r="C13" s="604"/>
      <c r="D13" s="184" t="s">
        <v>369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27"/>
      <c r="M13" s="327" t="str">
        <f t="shared" si="6"/>
        <v>干粮价</v>
      </c>
      <c r="N13" s="327">
        <f t="shared" si="6"/>
        <v>1610</v>
      </c>
      <c r="O13" s="327">
        <f t="shared" si="7"/>
        <v>1620</v>
      </c>
      <c r="P13" s="327">
        <f t="shared" si="7"/>
        <v>1700</v>
      </c>
      <c r="Q13" s="327">
        <f>J6</f>
        <v>1690</v>
      </c>
      <c r="R13" s="610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476</v>
      </c>
      <c r="B14" s="201">
        <v>43713</v>
      </c>
      <c r="C14" s="604"/>
      <c r="D14" s="293" t="s">
        <v>390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27"/>
      <c r="M14" s="327" t="str">
        <f t="shared" si="6"/>
        <v>较昨日变化</v>
      </c>
      <c r="N14" s="328">
        <f t="shared" si="6"/>
        <v>0</v>
      </c>
      <c r="O14" s="328">
        <f t="shared" si="7"/>
        <v>0</v>
      </c>
      <c r="P14" s="328">
        <f t="shared" si="7"/>
        <v>0</v>
      </c>
      <c r="Q14" s="328">
        <f>J7</f>
        <v>0</v>
      </c>
      <c r="R14" s="610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477</v>
      </c>
      <c r="B15" s="348">
        <v>1919</v>
      </c>
      <c r="C15" s="604"/>
      <c r="D15" s="294" t="s">
        <v>412</v>
      </c>
      <c r="E15" s="635">
        <f>INDEX(价格!$B:$B, COUNTA(价格!$A:$A)+1)</f>
        <v>1810</v>
      </c>
      <c r="F15" s="636"/>
      <c r="G15" s="636"/>
      <c r="H15" s="636"/>
      <c r="I15" s="636"/>
      <c r="J15" s="637"/>
      <c r="L15" s="627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10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479</v>
      </c>
      <c r="B16" s="523">
        <f ca="1">(B11+B12*0.2)*0.08*(B14-B13-1)/365</f>
        <v>63.921621917808217</v>
      </c>
      <c r="C16" s="604"/>
      <c r="D16" s="294" t="s">
        <v>410</v>
      </c>
      <c r="E16" s="635">
        <f>E15-INDEX(价格!$B:$B, COUNTA(价格!$A:$A))</f>
        <v>10</v>
      </c>
      <c r="F16" s="636"/>
      <c r="G16" s="636"/>
      <c r="H16" s="636"/>
      <c r="I16" s="636"/>
      <c r="J16" s="637"/>
      <c r="L16" s="627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1720</v>
      </c>
      <c r="Q16" s="327">
        <f>I9</f>
        <v>1730</v>
      </c>
      <c r="R16" s="610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493</v>
      </c>
      <c r="B17">
        <f ca="1">MIN(B14-B13-5,MAX(20,(B14-B13)/2))</f>
        <v>67</v>
      </c>
      <c r="C17" s="624" t="s">
        <v>385</v>
      </c>
      <c r="D17" s="298" t="s">
        <v>130</v>
      </c>
      <c r="E17" s="298" t="s">
        <v>405</v>
      </c>
      <c r="F17" s="379"/>
      <c r="G17" s="298" t="s">
        <v>406</v>
      </c>
      <c r="H17" s="298" t="s">
        <v>407</v>
      </c>
      <c r="I17" s="298" t="s">
        <v>239</v>
      </c>
      <c r="J17" s="298" t="s">
        <v>408</v>
      </c>
      <c r="L17" s="627"/>
      <c r="M17" s="329" t="str">
        <f>D10</f>
        <v>较昨日变化</v>
      </c>
      <c r="N17" s="331">
        <f t="shared" si="9"/>
        <v>0</v>
      </c>
      <c r="O17" s="331">
        <f t="shared" si="9"/>
        <v>0</v>
      </c>
      <c r="P17" s="331">
        <f>J10</f>
        <v>0</v>
      </c>
      <c r="Q17" s="331">
        <f>I10</f>
        <v>0</v>
      </c>
      <c r="R17" s="611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494</v>
      </c>
      <c r="B18" s="302">
        <f ca="1">MIN(B14-B13,5)</f>
        <v>5</v>
      </c>
      <c r="C18" s="624"/>
      <c r="D18" s="298" t="s">
        <v>386</v>
      </c>
      <c r="E18" s="298">
        <f>LOOKUP(2,1/(价格!$AY:$AY&lt;&gt;0),价格!$AY:$AY)</f>
        <v>1850</v>
      </c>
      <c r="F18" s="379"/>
      <c r="G18" s="298">
        <f>LOOKUP(2,1/(价格!$BC:$BC&lt;&gt;0),价格!$BC:$BC)</f>
        <v>1970</v>
      </c>
      <c r="H18" s="298">
        <f>LOOKUP(2,1/(价格!$BA:$BA&lt;&gt;0),价格!$BA:$BA)</f>
        <v>1898</v>
      </c>
      <c r="I18" s="298">
        <f>LOOKUP(2,1/(价格!$BD:$BD&lt;&gt;0),价格!$BD:$BD)</f>
        <v>1970</v>
      </c>
      <c r="J18" s="298">
        <f>LOOKUP(2,1/(价格!$BE:$BE&lt;&gt;0),价格!$BE:$BE)</f>
        <v>1940</v>
      </c>
      <c r="L18" s="624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495</v>
      </c>
      <c r="B19" s="523">
        <v>27.2</v>
      </c>
      <c r="C19" s="624"/>
      <c r="D19" s="298" t="s">
        <v>410</v>
      </c>
      <c r="E19" s="298">
        <f>E18-INDEX(价格!$AY:$AY, COUNTA(价格!$A:$A))</f>
        <v>0</v>
      </c>
      <c r="F19" s="379"/>
      <c r="G19" s="325">
        <f>G18-INDEX(价格!$BC:$BC, COUNTA(价格!$A:$A))</f>
        <v>10</v>
      </c>
      <c r="H19" s="325">
        <f>H18-INDEX(价格!$BA:$BA, COUNTA(价格!$A:$A))</f>
        <v>-7</v>
      </c>
      <c r="I19" s="325">
        <f>I18-INDEX(价格!$BD:$BD, COUNTA(价格!$A:$A))</f>
        <v>0</v>
      </c>
      <c r="J19" s="325">
        <f>J18-INDEX(价格!$BE:$BE, COUNTA(价格!$A:$A))</f>
        <v>0</v>
      </c>
      <c r="L19" s="624"/>
      <c r="M19" s="330" t="str">
        <f>D18</f>
        <v>价格</v>
      </c>
      <c r="N19" s="330">
        <f>E18</f>
        <v>1850</v>
      </c>
      <c r="O19" s="330">
        <f t="shared" ref="O19:P20" si="10">G18</f>
        <v>1970</v>
      </c>
      <c r="P19" s="330">
        <f t="shared" si="10"/>
        <v>1898</v>
      </c>
      <c r="Q19" s="330">
        <f>J18</f>
        <v>1940</v>
      </c>
      <c r="R19" s="330">
        <f>I18</f>
        <v>1970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/>
      <c r="B20" s="523">
        <f ca="1">B16+B19+0.2*B17+0.6*B18</f>
        <v>107.52162191780822</v>
      </c>
      <c r="C20" s="621" t="s">
        <v>370</v>
      </c>
      <c r="D20" s="184" t="s">
        <v>371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624"/>
      <c r="M20" s="333" t="str">
        <f>D19</f>
        <v>较昨日变化</v>
      </c>
      <c r="N20" s="331">
        <f>E19</f>
        <v>0</v>
      </c>
      <c r="O20" s="331">
        <f t="shared" si="10"/>
        <v>10</v>
      </c>
      <c r="P20" s="331">
        <f t="shared" si="10"/>
        <v>-7</v>
      </c>
      <c r="Q20" s="331">
        <f>J19</f>
        <v>0</v>
      </c>
      <c r="R20" s="331">
        <f>I19</f>
        <v>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21"/>
      <c r="D21" s="184" t="s">
        <v>372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616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634" t="s">
        <v>462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21"/>
      <c r="D22" s="184" t="s">
        <v>373</v>
      </c>
      <c r="E22" s="295">
        <f ca="1">E3*0.1*($B$4-$B$3)/365</f>
        <v>4.9726027397260273</v>
      </c>
      <c r="F22" s="295">
        <f t="shared" ref="F22:J22" ca="1" si="12">F3*0.1*($B$4-$B$3)/365</f>
        <v>5.0057534246575353</v>
      </c>
      <c r="G22" s="295">
        <f t="shared" ca="1" si="12"/>
        <v>5.5542465753424661</v>
      </c>
      <c r="H22" s="295">
        <f t="shared" ca="1" si="12"/>
        <v>5.3945205479452056</v>
      </c>
      <c r="I22" s="295">
        <f t="shared" ca="1" si="12"/>
        <v>5.2589041095890412</v>
      </c>
      <c r="J22" s="295">
        <f t="shared" ca="1" si="12"/>
        <v>5.509041095890411</v>
      </c>
      <c r="L22" s="616"/>
      <c r="M22" s="330" t="str">
        <f t="shared" ref="M22:N25" si="13">D36</f>
        <v>散船运费</v>
      </c>
      <c r="N22" s="330">
        <f t="shared" si="13"/>
        <v>42</v>
      </c>
      <c r="O22" s="330">
        <f t="shared" ref="O22:Q25" si="14">G36</f>
        <v>53</v>
      </c>
      <c r="P22" s="330">
        <f t="shared" si="14"/>
        <v>40</v>
      </c>
      <c r="Q22" s="330">
        <f t="shared" si="14"/>
        <v>39</v>
      </c>
      <c r="R22" s="634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21"/>
      <c r="D23" s="184" t="s">
        <v>374</v>
      </c>
      <c r="E23" s="295">
        <f ca="1">$E$32*0.2*0.1*($B$4-$B$3)/365</f>
        <v>1.1295342465753426</v>
      </c>
      <c r="F23" s="295">
        <f ca="1">$E$32*0.2*0.1*($B$4-$B$3)/365</f>
        <v>1.1295342465753426</v>
      </c>
      <c r="G23" s="295">
        <f t="shared" ref="G23:J23" ca="1" si="15">$E$32*0.2*0.1*($B$4-$B$3)/365</f>
        <v>1.1295342465753426</v>
      </c>
      <c r="H23" s="295">
        <f t="shared" ca="1" si="15"/>
        <v>1.1295342465753426</v>
      </c>
      <c r="I23" s="295">
        <f t="shared" ca="1" si="15"/>
        <v>1.1295342465753426</v>
      </c>
      <c r="J23" s="295">
        <f t="shared" ca="1" si="15"/>
        <v>1.1295342465753426</v>
      </c>
      <c r="L23" s="616"/>
      <c r="M23" s="330" t="str">
        <f t="shared" si="13"/>
        <v>价格</v>
      </c>
      <c r="N23" s="330">
        <f t="shared" si="13"/>
        <v>1930</v>
      </c>
      <c r="O23" s="330">
        <f t="shared" si="14"/>
        <v>1930</v>
      </c>
      <c r="P23" s="330">
        <f t="shared" si="14"/>
        <v>1940</v>
      </c>
      <c r="Q23" s="330">
        <f t="shared" si="14"/>
        <v>1930</v>
      </c>
      <c r="R23" s="634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21"/>
      <c r="D24" s="184" t="s">
        <v>375</v>
      </c>
      <c r="E24" s="295">
        <f t="shared" ref="E24:J24" ca="1" si="16">SUM(E20:E23)</f>
        <v>15.102136986301371</v>
      </c>
      <c r="F24" s="295">
        <f t="shared" ca="1" si="16"/>
        <v>15.135287671232877</v>
      </c>
      <c r="G24" s="295">
        <f t="shared" ca="1" si="16"/>
        <v>15.683780821917809</v>
      </c>
      <c r="H24" s="295">
        <f t="shared" ca="1" si="16"/>
        <v>15.524054794520548</v>
      </c>
      <c r="I24" s="295">
        <f t="shared" ca="1" si="16"/>
        <v>15.388438356164384</v>
      </c>
      <c r="J24" s="295">
        <f t="shared" ca="1" si="16"/>
        <v>15.638575342465753</v>
      </c>
      <c r="L24" s="616"/>
      <c r="M24" s="333" t="str">
        <f t="shared" si="13"/>
        <v>较昨日变化</v>
      </c>
      <c r="N24" s="331">
        <f t="shared" si="13"/>
        <v>10</v>
      </c>
      <c r="O24" s="331">
        <f t="shared" si="14"/>
        <v>0</v>
      </c>
      <c r="P24" s="331">
        <f t="shared" si="14"/>
        <v>10</v>
      </c>
      <c r="Q24" s="331">
        <f t="shared" si="14"/>
        <v>10</v>
      </c>
      <c r="R24" s="634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21" t="s">
        <v>376</v>
      </c>
      <c r="D25" s="184" t="s">
        <v>377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616"/>
      <c r="M25" s="330" t="str">
        <f t="shared" si="13"/>
        <v>南北发运利润</v>
      </c>
      <c r="N25" s="258">
        <f t="shared" si="13"/>
        <v>-12</v>
      </c>
      <c r="O25" s="258">
        <f t="shared" si="14"/>
        <v>-23</v>
      </c>
      <c r="P25" s="258">
        <f t="shared" si="14"/>
        <v>0</v>
      </c>
      <c r="Q25" s="258">
        <f t="shared" si="14"/>
        <v>-9</v>
      </c>
      <c r="R25" s="634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21"/>
      <c r="D26" s="184" t="s">
        <v>378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633" t="s">
        <v>464</v>
      </c>
      <c r="M26" s="633"/>
      <c r="N26" s="633"/>
      <c r="O26" s="633"/>
      <c r="P26" s="633"/>
      <c r="Q26" s="633"/>
      <c r="R26" s="633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21"/>
      <c r="D27" s="184" t="s">
        <v>379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633"/>
      <c r="M27" s="633"/>
      <c r="N27" s="633"/>
      <c r="O27" s="633"/>
      <c r="P27" s="633"/>
      <c r="Q27" s="633"/>
      <c r="R27" s="633"/>
    </row>
    <row r="28" spans="1:27" ht="16.5">
      <c r="A28" s="302"/>
      <c r="B28" s="302"/>
      <c r="C28" s="621"/>
      <c r="D28" s="184" t="s">
        <v>380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633"/>
      <c r="M28" s="633"/>
      <c r="N28" s="633"/>
      <c r="O28" s="633"/>
      <c r="P28" s="633"/>
      <c r="Q28" s="633"/>
      <c r="R28" s="633"/>
    </row>
    <row r="29" spans="1:27" ht="16.5">
      <c r="A29" s="302"/>
      <c r="B29" s="302"/>
      <c r="C29" s="621"/>
      <c r="D29" s="184" t="s">
        <v>381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633"/>
      <c r="M29" s="633"/>
      <c r="N29" s="633"/>
      <c r="O29" s="633"/>
      <c r="P29" s="633"/>
      <c r="Q29" s="633"/>
      <c r="R29" s="633"/>
    </row>
    <row r="30" spans="1:27" ht="16.5">
      <c r="A30" s="302"/>
      <c r="B30" s="302"/>
      <c r="C30" s="621"/>
      <c r="D30" s="184" t="s">
        <v>382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633"/>
      <c r="M30" s="633"/>
      <c r="N30" s="633"/>
      <c r="O30" s="633"/>
      <c r="P30" s="633"/>
      <c r="Q30" s="633"/>
      <c r="R30" s="633"/>
    </row>
    <row r="31" spans="1:27" ht="15">
      <c r="A31" s="302"/>
      <c r="B31" s="302"/>
      <c r="C31" s="616" t="str">
        <f>A2</f>
        <v>期货1905</v>
      </c>
      <c r="D31" s="296" t="s">
        <v>402</v>
      </c>
      <c r="E31" s="297">
        <f t="shared" ref="E31:J31" ca="1" si="18">E14+E24+E30</f>
        <v>1929.3021369863013</v>
      </c>
      <c r="F31" s="297">
        <f t="shared" ca="1" si="18"/>
        <v>1936.3352876712329</v>
      </c>
      <c r="G31" s="297">
        <f t="shared" ca="1" si="18"/>
        <v>1986.8837808219178</v>
      </c>
      <c r="H31" s="297">
        <f t="shared" ca="1" si="18"/>
        <v>2060.7240547945203</v>
      </c>
      <c r="I31" s="297">
        <f t="shared" ca="1" si="18"/>
        <v>1966.9884383561646</v>
      </c>
      <c r="J31" s="297">
        <f t="shared" ca="1" si="18"/>
        <v>2042.238575342466</v>
      </c>
    </row>
    <row r="32" spans="1:27" ht="16.5">
      <c r="A32" s="302"/>
      <c r="B32" s="302"/>
      <c r="C32" s="616"/>
      <c r="D32" s="304" t="s">
        <v>360</v>
      </c>
      <c r="E32" s="618">
        <f>$B$2</f>
        <v>1874</v>
      </c>
      <c r="F32" s="619"/>
      <c r="G32" s="619"/>
      <c r="H32" s="619"/>
      <c r="I32" s="619"/>
      <c r="J32" s="620"/>
    </row>
    <row r="33" spans="1:18" s="309" customFormat="1" ht="16.5">
      <c r="A33" s="302"/>
      <c r="B33" s="302"/>
      <c r="C33" s="616"/>
      <c r="D33" s="304" t="s">
        <v>410</v>
      </c>
      <c r="E33" s="618">
        <f>B2-B5</f>
        <v>0</v>
      </c>
      <c r="F33" s="619"/>
      <c r="G33" s="619"/>
      <c r="H33" s="619"/>
      <c r="I33" s="619"/>
      <c r="J33" s="620"/>
      <c r="L33" s="603">
        <f ca="1">TODAY()</f>
        <v>43579</v>
      </c>
      <c r="M33" s="603"/>
      <c r="N33" s="603"/>
      <c r="O33" s="603"/>
      <c r="P33" s="603"/>
      <c r="Q33" s="603"/>
      <c r="R33" s="603"/>
    </row>
    <row r="34" spans="1:18" ht="21">
      <c r="A34" s="302"/>
      <c r="B34" s="302"/>
      <c r="C34" s="616"/>
      <c r="D34" s="305" t="s">
        <v>403</v>
      </c>
      <c r="E34" s="306">
        <f ca="1">$E$32-E31</f>
        <v>-55.302136986301321</v>
      </c>
      <c r="F34" s="306">
        <f ca="1">$E$32-F31</f>
        <v>-62.335287671232891</v>
      </c>
      <c r="G34" s="306">
        <f t="shared" ref="G34:I34" ca="1" si="19">$E$32-G31</f>
        <v>-112.88378082191775</v>
      </c>
      <c r="H34" s="306">
        <f t="shared" ca="1" si="19"/>
        <v>-186.72405479452027</v>
      </c>
      <c r="I34" s="306">
        <f t="shared" ca="1" si="19"/>
        <v>-92.988438356164579</v>
      </c>
      <c r="J34" s="306">
        <f ca="1">$E$32-J31</f>
        <v>-168.23857534246599</v>
      </c>
      <c r="L34" s="604" t="s">
        <v>465</v>
      </c>
      <c r="M34" s="521" t="s">
        <v>466</v>
      </c>
      <c r="N34" s="612">
        <f>B1</f>
        <v>1810</v>
      </c>
      <c r="O34" s="612"/>
      <c r="P34" s="330" t="s">
        <v>411</v>
      </c>
      <c r="Q34" s="613">
        <f>N34-INDEX(价格!$B:$B, COUNTA(价格!$A:$A))</f>
        <v>10</v>
      </c>
      <c r="R34" s="613"/>
    </row>
    <row r="35" spans="1:18" ht="16.5">
      <c r="A35" s="302"/>
      <c r="B35" s="302"/>
      <c r="C35" s="617" t="s">
        <v>391</v>
      </c>
      <c r="D35" s="132" t="s">
        <v>276</v>
      </c>
      <c r="E35" s="312" t="s">
        <v>414</v>
      </c>
      <c r="F35" s="312"/>
      <c r="G35" s="312" t="s">
        <v>415</v>
      </c>
      <c r="H35" s="312" t="s">
        <v>416</v>
      </c>
      <c r="I35" s="312" t="s">
        <v>417</v>
      </c>
      <c r="J35" s="312"/>
      <c r="L35" s="604"/>
      <c r="M35" s="521" t="s">
        <v>467</v>
      </c>
      <c r="N35" s="612">
        <f>B11</f>
        <v>1810</v>
      </c>
      <c r="O35" s="612"/>
      <c r="P35" s="330" t="s">
        <v>411</v>
      </c>
      <c r="Q35" s="613">
        <f>N35-INDEX(价格!$D:$D, COUNTA(价格!$A:$A))</f>
        <v>10</v>
      </c>
      <c r="R35" s="613"/>
    </row>
    <row r="36" spans="1:18" ht="17.25">
      <c r="A36" s="309"/>
      <c r="B36" s="309"/>
      <c r="C36" s="617"/>
      <c r="D36" s="132" t="s">
        <v>174</v>
      </c>
      <c r="E36" s="320">
        <f>LOOKUP(2,1/(价格!$P:$P&lt;&gt;0),价格!$P:$P)</f>
        <v>42</v>
      </c>
      <c r="F36" s="377"/>
      <c r="G36" s="320">
        <f>LOOKUP(2,1/(价格!$Q:$Q&lt;&gt;0),价格!$Q:$Q)</f>
        <v>53</v>
      </c>
      <c r="H36" s="320">
        <f>LOOKUP(2,1/(价格!$R:$R&lt;&gt;0),价格!$R:$R)</f>
        <v>40</v>
      </c>
      <c r="I36" s="320">
        <f>LOOKUP(2,1/(价格!$S:$S&lt;&gt;0),价格!$S:$S)</f>
        <v>39</v>
      </c>
      <c r="J36" s="312"/>
      <c r="L36" s="605" t="s">
        <v>468</v>
      </c>
      <c r="M36" s="528" t="s">
        <v>469</v>
      </c>
      <c r="N36" s="612">
        <f>B2</f>
        <v>1874</v>
      </c>
      <c r="O36" s="612"/>
      <c r="P36" s="528" t="s">
        <v>470</v>
      </c>
      <c r="Q36" s="612">
        <f>B12</f>
        <v>1914</v>
      </c>
      <c r="R36" s="612"/>
    </row>
    <row r="37" spans="1:18" ht="17.25">
      <c r="A37" s="302"/>
      <c r="B37" s="302"/>
      <c r="C37" s="617"/>
      <c r="D37" s="132" t="s">
        <v>386</v>
      </c>
      <c r="E37" s="320">
        <f>LOOKUP(2,1/(价格!$H:$H&lt;&gt;0),价格!$H:$H)</f>
        <v>1930</v>
      </c>
      <c r="F37" s="377"/>
      <c r="G37" s="320">
        <f>LOOKUP(2,1/(价格!$L:$L&lt;&gt;0),价格!$L:$L)</f>
        <v>1930</v>
      </c>
      <c r="H37" s="320">
        <f>LOOKUP(2,1/(价格!$J:$J&lt;&gt;0),价格!$J:$J)</f>
        <v>1940</v>
      </c>
      <c r="I37" s="320">
        <f>LOOKUP(2,1/(价格!$N:$N&lt;&gt;0),价格!$N:$N)</f>
        <v>1930</v>
      </c>
      <c r="J37" s="313"/>
      <c r="L37" s="605"/>
      <c r="M37" s="330" t="s">
        <v>471</v>
      </c>
      <c r="N37" s="613">
        <f>B2-B5</f>
        <v>0</v>
      </c>
      <c r="O37" s="613"/>
      <c r="P37" s="330" t="s">
        <v>471</v>
      </c>
      <c r="Q37" s="613">
        <f>B12-B15</f>
        <v>-5</v>
      </c>
      <c r="R37" s="613"/>
    </row>
    <row r="38" spans="1:18" s="309" customFormat="1" ht="16.5">
      <c r="A38" s="302"/>
      <c r="B38" s="302"/>
      <c r="C38" s="617"/>
      <c r="D38" s="132" t="s">
        <v>410</v>
      </c>
      <c r="E38" s="313">
        <f>E37-INDEX(价格!H:H, COUNTA(价格!$A:$A))</f>
        <v>10</v>
      </c>
      <c r="F38" s="313"/>
      <c r="G38" s="313">
        <f>G37-INDEX(价格!L:L, COUNTA(价格!$A:$A))</f>
        <v>0</v>
      </c>
      <c r="H38" s="313">
        <f>H37-INDEX(价格!J:J, COUNTA(价格!$A:$A))</f>
        <v>10</v>
      </c>
      <c r="I38" s="313">
        <f>I37-INDEX(价格!N:N, COUNTA(价格!$A:$A))</f>
        <v>10</v>
      </c>
      <c r="J38" s="313"/>
      <c r="L38" s="605"/>
      <c r="M38" s="330" t="s">
        <v>472</v>
      </c>
      <c r="N38" s="614">
        <f ca="1">B2-B1-B10</f>
        <v>27.811397260273971</v>
      </c>
      <c r="O38" s="614"/>
      <c r="P38" s="330" t="s">
        <v>472</v>
      </c>
      <c r="Q38" s="615">
        <f ca="1">B12-B1-B20</f>
        <v>-3.5216219178082184</v>
      </c>
      <c r="R38" s="615"/>
    </row>
    <row r="39" spans="1:18" ht="17.25">
      <c r="A39" s="302"/>
      <c r="B39" s="302"/>
      <c r="C39" s="617"/>
      <c r="D39" s="132" t="s">
        <v>393</v>
      </c>
      <c r="E39" s="258">
        <f>INDEX(价格!I:I, COUNTA(价格!$A:$A)+1)</f>
        <v>-12</v>
      </c>
      <c r="F39" s="258"/>
      <c r="G39" s="258">
        <f>INDEX(价格!M:M, COUNTA(价格!$A:$A)+1)</f>
        <v>-23</v>
      </c>
      <c r="H39" s="258">
        <f>INDEX(价格!K:K, COUNTA(价格!$A:$A)+1)</f>
        <v>0</v>
      </c>
      <c r="I39" s="258">
        <f>INDEX(价格!O:O, COUNTA(价格!$A:$A)+1)</f>
        <v>-9</v>
      </c>
      <c r="J39" s="313"/>
      <c r="L39" s="606" t="s">
        <v>473</v>
      </c>
      <c r="M39" s="529" t="s">
        <v>480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09" t="s">
        <v>515</v>
      </c>
    </row>
    <row r="40" spans="1:18" ht="16.5">
      <c r="A40" s="302"/>
      <c r="B40" s="302"/>
      <c r="L40" s="606"/>
      <c r="M40" s="330" t="s">
        <v>481</v>
      </c>
      <c r="N40" s="330">
        <f>E6</f>
        <v>1610</v>
      </c>
      <c r="O40" s="330">
        <f t="shared" si="20"/>
        <v>1620</v>
      </c>
      <c r="P40" s="330">
        <f t="shared" si="20"/>
        <v>1700</v>
      </c>
      <c r="Q40" s="330">
        <f>J6</f>
        <v>1690</v>
      </c>
      <c r="R40" s="610"/>
    </row>
    <row r="41" spans="1:18" ht="16.5">
      <c r="A41" s="309"/>
      <c r="B41" s="309"/>
      <c r="L41" s="606"/>
      <c r="M41" s="330" t="s">
        <v>410</v>
      </c>
      <c r="N41" s="328">
        <f>E7</f>
        <v>0</v>
      </c>
      <c r="O41" s="522">
        <f t="shared" si="20"/>
        <v>0</v>
      </c>
      <c r="P41" s="522">
        <f t="shared" si="20"/>
        <v>0</v>
      </c>
      <c r="Q41" s="522">
        <f>J7</f>
        <v>0</v>
      </c>
      <c r="R41" s="610"/>
    </row>
    <row r="42" spans="1:18" ht="16.5">
      <c r="L42" s="606"/>
      <c r="M42" s="529" t="s">
        <v>480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10"/>
    </row>
    <row r="43" spans="1:18" ht="16.5">
      <c r="L43" s="606"/>
      <c r="M43" s="330" t="s">
        <v>481</v>
      </c>
      <c r="N43" s="330">
        <f t="shared" si="21"/>
        <v>1630</v>
      </c>
      <c r="O43" s="330" t="str">
        <f t="shared" si="21"/>
        <v>停收</v>
      </c>
      <c r="P43" s="330">
        <f>J9</f>
        <v>1720</v>
      </c>
      <c r="Q43" s="330">
        <f>I9</f>
        <v>1730</v>
      </c>
      <c r="R43" s="610"/>
    </row>
    <row r="44" spans="1:18" ht="16.5">
      <c r="L44" s="606"/>
      <c r="M44" s="330" t="s">
        <v>410</v>
      </c>
      <c r="N44" s="522">
        <f t="shared" si="21"/>
        <v>0</v>
      </c>
      <c r="O44" s="522">
        <f t="shared" si="21"/>
        <v>0</v>
      </c>
      <c r="P44" s="522">
        <f>J10</f>
        <v>0</v>
      </c>
      <c r="Q44" s="522">
        <f>I10</f>
        <v>0</v>
      </c>
      <c r="R44" s="611"/>
    </row>
    <row r="45" spans="1:18" ht="16.5">
      <c r="L45" s="606" t="s">
        <v>482</v>
      </c>
      <c r="M45" s="529" t="s">
        <v>480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18" ht="16.5">
      <c r="L46" s="606"/>
      <c r="M46" s="330" t="s">
        <v>483</v>
      </c>
      <c r="N46" s="330">
        <f t="shared" ref="N46:N47" si="22">E18</f>
        <v>1850</v>
      </c>
      <c r="O46" s="330">
        <f t="shared" ref="O46:P46" si="23">G18</f>
        <v>1970</v>
      </c>
      <c r="P46" s="330">
        <f t="shared" si="23"/>
        <v>1898</v>
      </c>
      <c r="Q46" s="330">
        <f t="shared" ref="Q46:Q47" si="24">J18</f>
        <v>1940</v>
      </c>
      <c r="R46" s="330">
        <f t="shared" ref="R46:R47" si="25">I18</f>
        <v>1970</v>
      </c>
    </row>
    <row r="47" spans="1:18" ht="16.5">
      <c r="L47" s="606"/>
      <c r="M47" s="330" t="s">
        <v>410</v>
      </c>
      <c r="N47" s="522">
        <f t="shared" si="22"/>
        <v>0</v>
      </c>
      <c r="O47" s="522">
        <f t="shared" ref="O47:P47" si="26">G19</f>
        <v>10</v>
      </c>
      <c r="P47" s="522">
        <f t="shared" si="26"/>
        <v>-7</v>
      </c>
      <c r="Q47" s="522">
        <f t="shared" si="24"/>
        <v>0</v>
      </c>
      <c r="R47" s="522">
        <f t="shared" si="25"/>
        <v>0</v>
      </c>
    </row>
    <row r="48" spans="1:18" ht="16.5">
      <c r="L48" s="607" t="s">
        <v>484</v>
      </c>
      <c r="M48" s="291" t="s">
        <v>485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08" t="s">
        <v>488</v>
      </c>
    </row>
    <row r="49" spans="12:18" ht="16.5">
      <c r="L49" s="607"/>
      <c r="M49" s="330" t="s">
        <v>486</v>
      </c>
      <c r="N49" s="330">
        <f t="shared" ref="N49:N52" si="28">E36</f>
        <v>42</v>
      </c>
      <c r="O49" s="330">
        <f t="shared" si="27"/>
        <v>53</v>
      </c>
      <c r="P49" s="330">
        <f t="shared" si="27"/>
        <v>40</v>
      </c>
      <c r="Q49" s="330">
        <f t="shared" si="27"/>
        <v>39</v>
      </c>
      <c r="R49" s="608"/>
    </row>
    <row r="50" spans="12:18" ht="16.5">
      <c r="L50" s="607"/>
      <c r="M50" s="330" t="s">
        <v>483</v>
      </c>
      <c r="N50" s="330">
        <f t="shared" si="28"/>
        <v>1930</v>
      </c>
      <c r="O50" s="330">
        <f t="shared" si="27"/>
        <v>1930</v>
      </c>
      <c r="P50" s="330">
        <f t="shared" si="27"/>
        <v>1940</v>
      </c>
      <c r="Q50" s="330">
        <f t="shared" si="27"/>
        <v>1930</v>
      </c>
      <c r="R50" s="608"/>
    </row>
    <row r="51" spans="12:18" ht="16.5">
      <c r="L51" s="607"/>
      <c r="M51" s="330" t="s">
        <v>410</v>
      </c>
      <c r="N51" s="522">
        <f t="shared" si="28"/>
        <v>10</v>
      </c>
      <c r="O51" s="522">
        <f t="shared" si="27"/>
        <v>0</v>
      </c>
      <c r="P51" s="522">
        <f t="shared" si="27"/>
        <v>10</v>
      </c>
      <c r="Q51" s="522">
        <f t="shared" si="27"/>
        <v>10</v>
      </c>
      <c r="R51" s="608"/>
    </row>
    <row r="52" spans="12:18" ht="16.5">
      <c r="L52" s="607"/>
      <c r="M52" s="330" t="s">
        <v>487</v>
      </c>
      <c r="N52" s="330">
        <f t="shared" si="28"/>
        <v>-12</v>
      </c>
      <c r="O52" s="330">
        <f t="shared" si="27"/>
        <v>-23</v>
      </c>
      <c r="P52" s="330">
        <f t="shared" si="27"/>
        <v>0</v>
      </c>
      <c r="Q52" s="330">
        <f t="shared" si="27"/>
        <v>-9</v>
      </c>
      <c r="R52" s="608"/>
    </row>
    <row r="53" spans="12:18">
      <c r="L53" s="594" t="s">
        <v>516</v>
      </c>
      <c r="M53" s="595"/>
      <c r="N53" s="595"/>
      <c r="O53" s="595"/>
      <c r="P53" s="595"/>
      <c r="Q53" s="595"/>
      <c r="R53" s="596"/>
    </row>
    <row r="54" spans="12:18">
      <c r="L54" s="597"/>
      <c r="M54" s="598"/>
      <c r="N54" s="598"/>
      <c r="O54" s="598"/>
      <c r="P54" s="598"/>
      <c r="Q54" s="598"/>
      <c r="R54" s="599"/>
    </row>
    <row r="55" spans="12:18" ht="44.25" customHeight="1">
      <c r="L55" s="600"/>
      <c r="M55" s="601"/>
      <c r="N55" s="601"/>
      <c r="O55" s="601"/>
      <c r="P55" s="601"/>
      <c r="Q55" s="601"/>
      <c r="R55" s="602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6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38" t="s">
        <v>194</v>
      </c>
      <c r="C1" s="638"/>
      <c r="D1" s="638"/>
      <c r="E1" s="638"/>
      <c r="F1" s="638"/>
      <c r="G1" s="638"/>
      <c r="H1" s="638"/>
      <c r="I1" s="639" t="s">
        <v>188</v>
      </c>
      <c r="J1" s="639"/>
      <c r="K1" s="639"/>
      <c r="L1" s="639"/>
      <c r="M1" s="639"/>
      <c r="N1" s="639"/>
      <c r="O1" s="639"/>
      <c r="P1" s="639"/>
      <c r="Q1" s="638" t="s">
        <v>189</v>
      </c>
      <c r="R1" s="638"/>
      <c r="S1" s="638"/>
      <c r="T1" s="638"/>
      <c r="U1" s="638"/>
      <c r="V1" s="638"/>
      <c r="W1" s="638"/>
      <c r="X1" s="638"/>
      <c r="Y1" s="640" t="s">
        <v>190</v>
      </c>
      <c r="Z1" s="641"/>
      <c r="AA1" s="641"/>
      <c r="AB1" s="641"/>
      <c r="AC1" s="641"/>
      <c r="AD1" s="641"/>
      <c r="AE1" s="641"/>
      <c r="AF1" s="641"/>
      <c r="AG1" s="638" t="s">
        <v>196</v>
      </c>
      <c r="AH1" s="638"/>
      <c r="AI1" s="638"/>
      <c r="AJ1" s="638"/>
      <c r="AK1" s="638"/>
      <c r="AL1" s="638"/>
      <c r="AM1" s="638"/>
      <c r="AN1" s="638"/>
      <c r="AO1" s="638" t="s">
        <v>191</v>
      </c>
      <c r="AP1" s="638"/>
      <c r="AQ1" s="638"/>
      <c r="AR1" s="638"/>
      <c r="AS1" s="638"/>
      <c r="AT1" s="638"/>
      <c r="AU1" s="638"/>
      <c r="AV1" s="638"/>
      <c r="AW1" s="638" t="s">
        <v>192</v>
      </c>
      <c r="AX1" s="638"/>
      <c r="AY1" s="638"/>
      <c r="AZ1" s="638"/>
      <c r="BA1" s="638"/>
      <c r="BB1" s="638"/>
      <c r="BC1" s="638"/>
      <c r="BD1" s="638"/>
      <c r="BE1" s="638" t="s">
        <v>193</v>
      </c>
      <c r="BF1" s="638"/>
      <c r="BG1" s="638"/>
      <c r="BH1" s="638"/>
      <c r="BI1" s="638"/>
      <c r="BJ1" s="638"/>
      <c r="BK1" s="638"/>
      <c r="BL1" s="638"/>
      <c r="BM1" s="638" t="s">
        <v>197</v>
      </c>
      <c r="BN1" s="638"/>
      <c r="BO1" s="638"/>
      <c r="BP1" s="638"/>
      <c r="BQ1" s="638"/>
      <c r="BR1" s="638"/>
      <c r="BS1" s="638"/>
      <c r="BT1" s="638"/>
    </row>
    <row r="2" spans="1:135">
      <c r="A2" s="201" t="s">
        <v>198</v>
      </c>
      <c r="B2" s="200" t="s">
        <v>195</v>
      </c>
      <c r="C2" s="200" t="s">
        <v>199</v>
      </c>
      <c r="D2" s="200" t="s">
        <v>200</v>
      </c>
      <c r="E2" s="200" t="s">
        <v>201</v>
      </c>
      <c r="F2" s="200" t="s">
        <v>202</v>
      </c>
      <c r="G2" s="200" t="s">
        <v>203</v>
      </c>
      <c r="H2" s="80" t="s">
        <v>204</v>
      </c>
      <c r="J2" s="196" t="s">
        <v>205</v>
      </c>
      <c r="K2" s="200" t="s">
        <v>199</v>
      </c>
      <c r="L2" s="200" t="s">
        <v>206</v>
      </c>
      <c r="M2" s="200" t="s">
        <v>207</v>
      </c>
      <c r="N2" s="200" t="s">
        <v>202</v>
      </c>
      <c r="O2" s="200" t="s">
        <v>203</v>
      </c>
      <c r="P2" s="80" t="s">
        <v>204</v>
      </c>
      <c r="R2" s="196" t="s">
        <v>205</v>
      </c>
      <c r="S2" s="200" t="s">
        <v>199</v>
      </c>
      <c r="T2" s="200" t="s">
        <v>206</v>
      </c>
      <c r="U2" s="200" t="s">
        <v>207</v>
      </c>
      <c r="V2" s="200" t="s">
        <v>208</v>
      </c>
      <c r="W2" s="200" t="s">
        <v>209</v>
      </c>
      <c r="X2" s="80" t="s">
        <v>204</v>
      </c>
      <c r="Z2" s="196" t="s">
        <v>205</v>
      </c>
      <c r="AA2" s="200" t="s">
        <v>210</v>
      </c>
      <c r="AB2" s="200" t="s">
        <v>206</v>
      </c>
      <c r="AC2" s="200" t="s">
        <v>211</v>
      </c>
      <c r="AD2" s="200" t="s">
        <v>208</v>
      </c>
      <c r="AE2" s="200" t="s">
        <v>209</v>
      </c>
      <c r="AF2" s="80" t="s">
        <v>204</v>
      </c>
      <c r="AH2" s="196" t="s">
        <v>212</v>
      </c>
      <c r="AI2" s="200" t="s">
        <v>199</v>
      </c>
      <c r="AJ2" s="200" t="s">
        <v>206</v>
      </c>
      <c r="AK2" s="200" t="s">
        <v>207</v>
      </c>
      <c r="AL2" s="200" t="s">
        <v>213</v>
      </c>
      <c r="AM2" s="200" t="s">
        <v>209</v>
      </c>
      <c r="AN2" s="80" t="s">
        <v>204</v>
      </c>
      <c r="AP2" s="196" t="s">
        <v>205</v>
      </c>
      <c r="AQ2" s="200" t="s">
        <v>214</v>
      </c>
      <c r="AR2" s="200" t="s">
        <v>206</v>
      </c>
      <c r="AS2" s="200" t="s">
        <v>207</v>
      </c>
      <c r="AT2" s="200" t="s">
        <v>213</v>
      </c>
      <c r="AU2" s="200" t="s">
        <v>209</v>
      </c>
      <c r="AV2" s="80" t="s">
        <v>215</v>
      </c>
      <c r="AX2" s="196" t="s">
        <v>205</v>
      </c>
      <c r="AY2" s="200" t="s">
        <v>214</v>
      </c>
      <c r="AZ2" s="200" t="s">
        <v>206</v>
      </c>
      <c r="BA2" s="200" t="s">
        <v>201</v>
      </c>
      <c r="BB2" s="200" t="s">
        <v>213</v>
      </c>
      <c r="BC2" s="200" t="s">
        <v>209</v>
      </c>
      <c r="BD2" s="80" t="s">
        <v>204</v>
      </c>
      <c r="BF2" s="196" t="s">
        <v>205</v>
      </c>
      <c r="BG2" s="200" t="s">
        <v>214</v>
      </c>
      <c r="BH2" s="200" t="s">
        <v>206</v>
      </c>
      <c r="BI2" s="200" t="s">
        <v>207</v>
      </c>
      <c r="BJ2" s="200" t="s">
        <v>213</v>
      </c>
      <c r="BK2" s="200" t="s">
        <v>209</v>
      </c>
      <c r="BL2" s="80" t="s">
        <v>204</v>
      </c>
      <c r="BM2" s="190" t="s">
        <v>353</v>
      </c>
      <c r="BN2" s="196" t="s">
        <v>205</v>
      </c>
      <c r="BO2" s="200" t="s">
        <v>214</v>
      </c>
      <c r="BP2" s="200" t="s">
        <v>200</v>
      </c>
      <c r="BQ2" s="200" t="s">
        <v>207</v>
      </c>
      <c r="BR2" s="200" t="s">
        <v>213</v>
      </c>
      <c r="BS2" s="200" t="s">
        <v>209</v>
      </c>
      <c r="BT2" s="193" t="s">
        <v>204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6"/>
  <sheetViews>
    <sheetView workbookViewId="0">
      <pane xSplit="1" ySplit="2" topLeftCell="B100" activePane="bottomRight" state="frozen"/>
      <selection pane="topRight" activeCell="B1" sqref="B1"/>
      <selection pane="bottomLeft" activeCell="A3" sqref="A3"/>
      <selection pane="bottomRight" activeCell="T118" sqref="T118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54"/>
      <c r="B1" s="661" t="s">
        <v>5</v>
      </c>
      <c r="C1" s="662"/>
      <c r="D1" s="662"/>
      <c r="E1" s="662"/>
      <c r="F1" s="663"/>
      <c r="G1" s="655" t="s">
        <v>6</v>
      </c>
      <c r="H1" s="656"/>
      <c r="I1" s="656"/>
      <c r="J1" s="657"/>
      <c r="K1" s="658" t="s">
        <v>7</v>
      </c>
      <c r="L1" s="659"/>
      <c r="M1" s="659"/>
      <c r="N1" s="660"/>
      <c r="O1" s="648" t="s">
        <v>8</v>
      </c>
      <c r="P1" s="649"/>
      <c r="Q1" s="649"/>
      <c r="R1" s="650"/>
      <c r="S1" s="651" t="s">
        <v>9</v>
      </c>
      <c r="T1" s="652"/>
      <c r="U1" s="652"/>
      <c r="V1" s="652"/>
      <c r="W1" s="653"/>
      <c r="X1" s="664" t="s">
        <v>48</v>
      </c>
      <c r="Y1" s="665"/>
      <c r="Z1" s="665"/>
      <c r="AA1" s="665"/>
      <c r="AB1" s="665"/>
      <c r="AC1" s="666"/>
      <c r="AD1" s="667" t="s">
        <v>52</v>
      </c>
      <c r="AE1" s="668"/>
      <c r="AF1" s="668"/>
      <c r="AJ1" s="642" t="s">
        <v>50</v>
      </c>
      <c r="AK1" s="643"/>
      <c r="AL1" s="643"/>
      <c r="AM1" s="644"/>
      <c r="AN1" s="645" t="s">
        <v>51</v>
      </c>
      <c r="AO1" s="646"/>
      <c r="AP1" s="646"/>
      <c r="AQ1" s="647"/>
    </row>
    <row r="2" spans="1:43">
      <c r="A2" s="654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173</v>
      </c>
      <c r="AE2" s="95" t="s">
        <v>174</v>
      </c>
      <c r="AF2" s="153" t="s">
        <v>53</v>
      </c>
      <c r="AG2" s="162" t="s">
        <v>175</v>
      </c>
      <c r="AH2" s="163" t="s">
        <v>460</v>
      </c>
      <c r="AI2" s="163" t="s">
        <v>344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VLOOKUP(A115,价格!A:B,2,FALSE)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4">
        <f>VLOOKUP(A115,价格!A:G,7,FALSE)</f>
        <v>1860</v>
      </c>
      <c r="AD115" s="97">
        <v>90</v>
      </c>
      <c r="AE115" s="97">
        <f>VLOOKUP(A115,价格!A:P,16,FALSE)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F116" s="120">
        <f>VLOOKUP(A116,价格!A:B,2,FALSE)</f>
        <v>1800</v>
      </c>
      <c r="S116" s="71">
        <f t="shared" ref="S116" si="461">B116+G116+K116+O116</f>
        <v>0</v>
      </c>
      <c r="T116" s="561">
        <f t="shared" ref="T116" si="462">C116+H116+L116+P116</f>
        <v>0</v>
      </c>
      <c r="U116" s="561">
        <f t="shared" ref="U116" si="463">D116+I116+M116+Q116</f>
        <v>0</v>
      </c>
      <c r="V116" s="561">
        <f t="shared" ref="V116" si="464">E116+J116+N116+R116</f>
        <v>0</v>
      </c>
      <c r="W116" s="73">
        <f t="shared" ref="W116" si="465">V116-V115</f>
        <v>-482.20000000000016</v>
      </c>
      <c r="X116" s="562">
        <f>AA115</f>
        <v>98.399999999999977</v>
      </c>
      <c r="Y116" s="563">
        <v>11.2</v>
      </c>
      <c r="Z116" s="563">
        <v>16.600000000000001</v>
      </c>
      <c r="AA116" s="563">
        <f t="shared" ref="AA116" si="466">X116+Y116-Z116</f>
        <v>92.999999999999972</v>
      </c>
      <c r="AB116" s="78">
        <f t="shared" ref="AB116" si="467">AA116-AA115</f>
        <v>-5.4000000000000057</v>
      </c>
      <c r="AC116" s="564">
        <f>VLOOKUP(A116,价格!A:G,7,FALSE)</f>
        <v>1910</v>
      </c>
      <c r="AD116" s="97">
        <v>90</v>
      </c>
      <c r="AE116" s="97">
        <f>VLOOKUP(A116,价格!A:P,16,FALSE)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9">
        <f t="shared" ref="AJ116" si="468">AM115</f>
        <v>18.899999999999984</v>
      </c>
      <c r="AK116" s="560"/>
      <c r="AL116" s="560">
        <v>3.1</v>
      </c>
      <c r="AM116" s="103">
        <f t="shared" ref="AM116" si="469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Q94" sqref="A94:Q94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69" t="s">
        <v>30</v>
      </c>
      <c r="C1" s="670"/>
      <c r="D1" s="670"/>
      <c r="E1" s="671"/>
      <c r="F1" s="642" t="s">
        <v>26</v>
      </c>
      <c r="G1" s="643"/>
      <c r="H1" s="643"/>
      <c r="I1" s="643"/>
      <c r="J1" s="644"/>
      <c r="K1" s="672" t="s">
        <v>358</v>
      </c>
      <c r="L1" s="673"/>
      <c r="M1" s="674"/>
      <c r="N1" s="675" t="s">
        <v>27</v>
      </c>
      <c r="O1" s="676"/>
      <c r="P1" s="676"/>
      <c r="Q1" s="677"/>
      <c r="R1" s="640" t="s">
        <v>31</v>
      </c>
      <c r="S1" s="641"/>
      <c r="T1" s="641"/>
      <c r="U1" s="641"/>
      <c r="V1" s="641"/>
      <c r="W1" s="641"/>
      <c r="X1" s="641"/>
      <c r="Y1" s="641"/>
      <c r="Z1" s="641"/>
      <c r="AA1" s="641"/>
      <c r="AB1" s="641"/>
      <c r="AC1" s="641"/>
      <c r="AD1" s="641"/>
      <c r="AE1" s="641"/>
      <c r="AF1" s="641"/>
      <c r="AG1" s="641"/>
      <c r="AH1" s="641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玉米进出口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2019-04-24T07:24:52Z</dcterms:modified>
</cp:coreProperties>
</file>