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4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654" i="6" l="1"/>
  <c r="K1654" i="6"/>
  <c r="M1654" i="6"/>
  <c r="O1654" i="6"/>
  <c r="E75" i="22" l="1"/>
  <c r="S116" i="3" l="1"/>
  <c r="T116" i="3"/>
  <c r="U116" i="3"/>
  <c r="V116" i="3"/>
  <c r="W116" i="3"/>
  <c r="AJ116" i="3"/>
  <c r="AM116" i="3" s="1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AF116" i="3" l="1"/>
  <c r="W9" i="9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3" i="22" l="1"/>
  <c r="E64" i="22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<sst xmlns="http://schemas.openxmlformats.org/spreadsheetml/2006/main" count="740" uniqueCount="517">
  <si>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</si>
  <si>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</si>
  <si>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</si>
  <si>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</si>
  <si>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</si>
  <si>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</si>
  <si>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</si>
  <si>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</si>
  <si>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</si>
  <si>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</si>
  <si>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</si>
  <si>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</si>
  <si>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</si>
  <si>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</si>
  <si>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</si>
  <si>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</si>
  <si>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</si>
  <si>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</si>
  <si>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</si>
  <si>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</si>
  <si>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</si>
  <si>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</si>
  <si>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</si>
  <si>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</si>
  <si>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</si>
  <si>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</si>
  <si>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</si>
  <si>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</si>
  <si>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</si>
  <si>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</si>
  <si>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</si>
  <si>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</si>
  <si>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</si>
  <si>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</si>
  <si>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</si>
  <si>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</si>
  <si>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</si>
  <si>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</si>
  <si>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</si>
  <si>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</si>
  <si>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</si>
  <si>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</si>
  <si>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</si>
  <si>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</si>
  <si>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</si>
  <si>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</si>
  <si>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</si>
  <si>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</si>
  <si>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</si>
  <si>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</si>
  <si>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</si>
  <si>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</si>
  <si>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</si>
  <si>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</si>
  <si>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</si>
  <si>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</si>
  <si>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</si>
  <si>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</si>
  <si>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</si>
  <si>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</si>
  <si>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</si>
  <si>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</si>
  <si>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</si>
  <si>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</si>
  <si>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</si>
  <si>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</si>
  <si>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</si>
  <si>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</si>
  <si>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</si>
  <si>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</si>
  <si>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</si>
  <si>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</si>
  <si>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</si>
  <si>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</si>
  <si>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</si>
  <si>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</si>
  <si>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</si>
  <si>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</si>
  <si>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</si>
  <si>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</si>
  <si>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</si>
  <si>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</si>
  <si>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</si>
  <si>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</si>
  <si>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</si>
  <si>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</si>
  <si>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</si>
  <si>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</si>
  <si>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</si>
  <si>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</si>
  <si>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</si>
  <si>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</si>
  <si>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</si>
  <si>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</si>
  <si>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</si>
  <si>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</si>
  <si>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</si>
  <si>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</si>
  <si>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</si>
  <si>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</si>
  <si>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</si>
  <si>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</si>
  <si>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</si>
  <si>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</si>
  <si>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</si>
  <si>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</si>
  <si>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</si>
  <si>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</si>
  <si>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</si>
  <si>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</si>
  <si>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</si>
  <si>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</si>
  <si>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</si>
  <si>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</si>
  <si>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</si>
  <si>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</si>
  <si>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</si>
  <si>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</si>
  <si>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</si>
  <si>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</si>
  <si>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</si>
  <si>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</si>
  <si>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</si>
  <si>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</si>
  <si>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</si>
  <si>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</si>
  <si>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</si>
  <si>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</si>
  <si>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</si>
  <si>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</si>
  <si>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</si>
  <si>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</si>
  <si>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</si>
  <si>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</si>
  <si>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</si>
  <si>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</si>
  <si>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</si>
  <si>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</si>
  <si>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</si>
  <si>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</si>
  <si>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</si>
  <si>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</si>
  <si>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</si>
  <si>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</si>
  <si>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</si>
  <si>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</si>
  <si>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</si>
  <si>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</si>
  <si>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</si>
  <si>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</si>
  <si>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</si>
  <si>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</si>
  <si>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</si>
  <si>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</si>
  <si>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</si>
  <si>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</si>
  <si>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</si>
  <si>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</si>
  <si>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</si>
  <si>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</si>
  <si>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</si>
  <si>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</si>
  <si>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</si>
  <si>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</si>
  <si>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</si>
  <si>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</si>
  <si>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</si>
  <si>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</si>
  <si>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</si>
  <si>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</si>
  <si>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</si>
  <si>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</si>
  <si>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</si>
  <si>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</si>
  <si>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</si>
  <si>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</si>
  <si>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</si>
  <si>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</si>
  <si>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</si>
  <si>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</si>
  <si>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</si>
  <si>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</si>
  <si>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</si>
  <si>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</si>
  <si>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</si>
  <si>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</si>
  <si>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</si>
  <si>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</si>
  <si>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</si>
  <si>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</si>
  <si>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</si>
  <si>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</si>
  <si>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</si>
  <si>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</si>
  <si>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</si>
  <si>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</si>
  <si>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</si>
  <si>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</si>
  <si>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</si>
  <si>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</si>
  <si>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</si>
  <si>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</si>
  <si>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</si>
  <si>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</si>
  <si>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</si>
  <si>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</si>
  <si>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</si>
  <si>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</si>
  <si>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</si>
  <si>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</si>
  <si>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</si>
  <si>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</si>
  <si>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</si>
  <si>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</si>
  <si>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</si>
  <si>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</si>
  <si>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</si>
  <si>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</si>
  <si>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</si>
  <si>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</si>
  <si>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</si>
  <si>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</si>
  <si>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</si>
  <si>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</si>
  <si>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</si>
  <si>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</si>
  <si>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</si>
  <si>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</si>
  <si>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</si>
  <si>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</si>
  <si>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</si>
  <si>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</si>
  <si>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</si>
  <si>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</si>
  <si>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</si>
  <si>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</si>
  <si>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</si>
  <si>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</si>
  <si>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</si>
  <si>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</si>
  <si>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</si>
  <si>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</si>
  <si>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</si>
  <si>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</si>
  <si>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</si>
  <si>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</si>
  <si>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</si>
  <si>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</si>
  <si>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</si>
  <si>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</si>
  <si>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</si>
  <si>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</si>
  <si>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</si>
  <si>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</si>
  <si>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</si>
  <si>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</si>
  <si>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</si>
  <si>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</si>
  <si>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</si>
  <si>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</si>
  <si>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</si>
  <si>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</si>
  <si>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</si>
  <si>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</si>
  <si>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</si>
  <si>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</si>
  <si>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</si>
  <si>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</si>
  <si>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</si>
  <si>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</si>
  <si>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</si>
  <si>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</si>
  <si>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</si>
  <si>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</si>
  <si>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</si>
  <si>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</si>
  <si>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</si>
  <si>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</si>
  <si>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</si>
  <si>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</si>
  <si>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</si>
  <si>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</si>
  <si>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</si>
  <si>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</si>
  <si>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</si>
  <si>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</si>
  <si>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</si>
  <si>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</si>
  <si>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</si>
  <si>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</si>
  <si>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</si>
  <si>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</si>
  <si>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</si>
  <si>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</si>
  <si>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</si>
  <si>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</si>
  <si>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</si>
  <si>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</si>
  <si>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</si>
  <si>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</si>
  <si>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</si>
  <si>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</si>
  <si>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</si>
  <si>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</si>
  <si>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</si>
  <si>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</si>
  <si>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</si>
  <si>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</si>
  <si>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</si>
  <si>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</si>
  <si>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</si>
  <si>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</si>
  <si>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</si>
  <si>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</si>
  <si>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</si>
  <si>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</si>
  <si>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</si>
  <si>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</si>
  <si>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</si>
  <si>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</si>
  <si>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</si>
  <si>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</si>
  <si>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</si>
  <si>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</si>
  <si>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</si>
  <si>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</si>
  <si>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</si>
  <si>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</si>
  <si>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</si>
  <si>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</si>
  <si>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</si>
  <si>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</si>
  <si>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</si>
  <si>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</si>
  <si>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</si>
  <si>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</si>
  <si>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</si>
  <si>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</si>
  <si>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</si>
  <si>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</si>
  <si>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</si>
  <si>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</si>
  <si>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</si>
  <si>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</si>
  <si>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</si>
  <si>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</si>
  <si>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</si>
  <si>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</si>
  <si>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</si>
  <si>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</si>
  <si>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</si>
  <si>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</si>
  <si>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</si>
  <si>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</si>
  <si>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</si>
  <si>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</si>
  <si>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</si>
  <si>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</si>
  <si>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</si>
  <si>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</si>
  <si>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</si>
  <si>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</si>
  <si>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</si>
  <si>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</si>
  <si>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</si>
  <si>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</si>
  <si>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</si>
  <si>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</si>
  <si>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</si>
  <si>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</si>
  <si>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</si>
  <si>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</si>
  <si>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</si>
  <si>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</si>
  <si>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</si>
  <si>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</si>
  <si>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</si>
  <si>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</si>
  <si>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</si>
  <si>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</si>
  <si>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</si>
  <si>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</si>
  <si>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</si>
  <si>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</si>
  <si>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</si>
  <si>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</si>
  <si>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</si>
  <si>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</si>
  <si>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</si>
  <si>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</si>
  <si>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</si>
  <si>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</si>
  <si>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</si>
  <si>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</si>
  <si>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</si>
  <si>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</si>
  <si>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</si>
  <si>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</si>
  <si>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</si>
  <si>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</si>
  <si>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</si>
  <si>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</si>
  <si>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</si>
  <si>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</si>
  <si>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</si>
  <si>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</si>
  <si>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</si>
  <si>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</si>
  <si>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</si>
  <si>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</si>
  <si>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</si>
  <si>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</si>
  <si>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</si>
  <si>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</si>
  <si>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</si>
  <si>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</si>
  <si>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</si>
  <si>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</si>
  <si>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</si>
  <si>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</si>
  <si>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</si>
  <si>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</si>
  <si>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</si>
  <si>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</si>
  <si>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</si>
  <si>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</si>
  <si>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</si>
  <si>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</si>
  <si>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</si>
  <si>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</si>
  <si>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</si>
  <si>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</si>
  <si>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</si>
  <si>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</si>
  <si>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</si>
  <si>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</si>
  <si>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</si>
  <si>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</si>
  <si>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</si>
  <si>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</si>
  <si>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</si>
  <si>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</si>
  <si>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</si>
  <si>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</si>
  <si>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</si>
  <si>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</si>
  <si>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</si>
  <si>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</si>
  <si>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</si>
  <si>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</si>
  <si>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</si>
  <si>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</si>
  <si>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</si>
  <si>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</si>
  <si>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</si>
  <si>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</si>
  <si>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</si>
  <si>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</si>
  <si>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</si>
  <si>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</si>
  <si>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</si>
  <si>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</si>
  <si>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</si>
  <si>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</si>
  <si>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</si>
  <si>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</si>
  <si>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</si>
  <si>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</si>
  <si>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</si>
  <si>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</si>
  <si>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</si>
  <si>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</si>
  <si>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</si>
  <si>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</si>
  <si>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</si>
  <si>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</si>
  <si>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</si>
  <si>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</si>
  <si>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</si>
  <si>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</si>
  <si>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</si>
  <si>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</si>
  <si>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</si>
  <si>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</si>
  <si>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</si>
  <si>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</si>
  <si>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</si>
  <si>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</si>
  <si>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南方销区港口价格继续上涨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</si>
  <si>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</si>
  <si>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</si>
  <si>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</si>
  <si>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</si>
  <si>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</si>
  <si>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</si>
  <si>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</si>
  <si>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</si>
  <si>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</si>
  <si>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</si>
  <si>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</si>
  <si>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</si>
  <si>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</si>
  <si>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</si>
  <si>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</si>
  <si>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</si>
  <si>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</si>
  <si>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</si>
  <si>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</si>
  <si>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</si>
  <si>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</si>
  <si>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</si>
  <si>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</si>
  <si>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</si>
  <si>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</si>
  <si>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</si>
  <si>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东北地区报价稳定，华北地区稳定偏强</t>
    <phoneticPr fontId="1" type="noConversion"/>
  </si>
  <si>
    <t>今日东北产区价格稳定，厂门收购量日益减少。华北地区报价稳定偏强，个别企业上调报价，企业收购积极性有所提升。北方港口价格稳定偏强，锦州港晨间汽运到港约1.3万吨，鲅鱼圈晨间汽运到港约2.1万吨。销区方面，受近期内贸玉米到货大幅减少、到货成本继续上涨等支撑，贸易商报价心态维持坚挺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</si>
</sst>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8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15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181" fontId="13" fillId="38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754512"/>
        <c:axId val="1103751792"/>
      </c:lineChart>
      <c:catAx>
        <c:axId val="1103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1792"/>
        <c:crosses val="autoZero"/>
        <c:auto val="1"/>
        <c:lblAlgn val="ctr"/>
        <c:lblOffset val="100"/>
        <c:noMultiLvlLbl val="0"/>
      </c:catAx>
      <c:valAx>
        <c:axId val="1103751792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3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58320"/>
        <c:axId val="1103758864"/>
      </c:lineChart>
      <c:dateAx>
        <c:axId val="110375832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8864"/>
        <c:crosses val="autoZero"/>
        <c:auto val="1"/>
        <c:lblOffset val="100"/>
        <c:baseTimeUnit val="months"/>
      </c:dateAx>
      <c:valAx>
        <c:axId val="11037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65392"/>
        <c:axId val="1103755600"/>
      </c:lineChart>
      <c:dateAx>
        <c:axId val="110376539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5600"/>
        <c:crosses val="autoZero"/>
        <c:auto val="1"/>
        <c:lblOffset val="100"/>
        <c:baseTimeUnit val="months"/>
      </c:dateAx>
      <c:valAx>
        <c:axId val="1103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  <c:pt idx="83">
                  <c:v>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51248"/>
        <c:axId val="1103764304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55056"/>
        <c:axId val="1103750704"/>
      </c:lineChart>
      <c:dateAx>
        <c:axId val="1103751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64304"/>
        <c:crosses val="autoZero"/>
        <c:auto val="1"/>
        <c:lblOffset val="100"/>
        <c:baseTimeUnit val="days"/>
      </c:dateAx>
      <c:valAx>
        <c:axId val="1103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1248"/>
        <c:crosses val="autoZero"/>
        <c:crossBetween val="between"/>
      </c:valAx>
      <c:valAx>
        <c:axId val="110375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5056"/>
        <c:crosses val="max"/>
        <c:crossBetween val="between"/>
      </c:valAx>
      <c:dateAx>
        <c:axId val="110375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3750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56144"/>
        <c:axId val="1103761040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3765936"/>
        <c:axId val="1103761584"/>
      </c:barChart>
      <c:catAx>
        <c:axId val="1103756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61040"/>
        <c:crosses val="autoZero"/>
        <c:auto val="0"/>
        <c:lblAlgn val="ctr"/>
        <c:lblOffset val="100"/>
        <c:noMultiLvlLbl val="0"/>
      </c:catAx>
      <c:valAx>
        <c:axId val="11037610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6144"/>
        <c:crosses val="autoZero"/>
        <c:crossBetween val="between"/>
      </c:valAx>
      <c:valAx>
        <c:axId val="1103761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65936"/>
        <c:crosses val="max"/>
        <c:crossBetween val="between"/>
      </c:valAx>
      <c:catAx>
        <c:axId val="11037659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0376158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757232"/>
        <c:axId val="110375777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59824"/>
        <c:axId val="1102965264"/>
      </c:lineChart>
      <c:catAx>
        <c:axId val="110375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7776"/>
        <c:crosses val="autoZero"/>
        <c:auto val="0"/>
        <c:lblAlgn val="ctr"/>
        <c:lblOffset val="100"/>
        <c:noMultiLvlLbl val="0"/>
      </c:catAx>
      <c:valAx>
        <c:axId val="11037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757232"/>
        <c:crosses val="autoZero"/>
        <c:crossBetween val="between"/>
      </c:valAx>
      <c:valAx>
        <c:axId val="110296526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59824"/>
        <c:crosses val="max"/>
        <c:crossBetween val="between"/>
      </c:valAx>
      <c:catAx>
        <c:axId val="1102959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296526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840928"/>
        <c:axId val="135783984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47456"/>
        <c:axId val="1357838752"/>
      </c:lineChart>
      <c:catAx>
        <c:axId val="1357840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39840"/>
        <c:crosses val="autoZero"/>
        <c:auto val="0"/>
        <c:lblAlgn val="ctr"/>
        <c:lblOffset val="100"/>
        <c:noMultiLvlLbl val="0"/>
      </c:catAx>
      <c:valAx>
        <c:axId val="13578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40928"/>
        <c:crosses val="autoZero"/>
        <c:crossBetween val="between"/>
      </c:valAx>
      <c:valAx>
        <c:axId val="135783875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47456"/>
        <c:crosses val="max"/>
        <c:crossBetween val="between"/>
      </c:valAx>
      <c:dateAx>
        <c:axId val="1357847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838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844736"/>
        <c:axId val="135783929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36032"/>
        <c:axId val="1357834944"/>
      </c:lineChart>
      <c:catAx>
        <c:axId val="135784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39296"/>
        <c:crosses val="autoZero"/>
        <c:auto val="0"/>
        <c:lblAlgn val="ctr"/>
        <c:lblOffset val="100"/>
        <c:noMultiLvlLbl val="0"/>
      </c:catAx>
      <c:valAx>
        <c:axId val="1357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44736"/>
        <c:crosses val="autoZero"/>
        <c:crossBetween val="between"/>
      </c:valAx>
      <c:valAx>
        <c:axId val="1357834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36032"/>
        <c:crosses val="max"/>
        <c:crossBetween val="between"/>
      </c:valAx>
      <c:dateAx>
        <c:axId val="1357836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834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837664"/>
        <c:axId val="135784147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32224"/>
        <c:axId val="1357836576"/>
      </c:lineChart>
      <c:catAx>
        <c:axId val="135783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41472"/>
        <c:crosses val="autoZero"/>
        <c:auto val="0"/>
        <c:lblAlgn val="ctr"/>
        <c:lblOffset val="100"/>
        <c:noMultiLvlLbl val="0"/>
      </c:catAx>
      <c:valAx>
        <c:axId val="1357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37664"/>
        <c:crosses val="autoZero"/>
        <c:crossBetween val="between"/>
      </c:valAx>
      <c:valAx>
        <c:axId val="1357836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832224"/>
        <c:crosses val="max"/>
        <c:crossBetween val="between"/>
      </c:valAx>
      <c:dateAx>
        <c:axId val="135783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836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4"/>
  <sheetViews>
    <sheetView workbookViewId="0">
      <pane xSplit="1" ySplit="1" topLeftCell="G1635" activePane="bottomRight" state="frozen"/>
      <selection pane="topRight" activeCell="B1" sqref="B1"/>
      <selection pane="bottomLeft" activeCell="A2" sqref="A2"/>
      <selection pane="bottomRight" activeCell="N1653" sqref="N1653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134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T1649" s="173">
        <v>1620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134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134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134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134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  <row r="1654" spans="1:64">
      <c r="A1654" s="133">
        <v>43580</v>
      </c>
      <c r="B1654" s="134">
        <v>1820</v>
      </c>
      <c r="D1654" s="134">
        <v>1810</v>
      </c>
      <c r="G1654" s="134">
        <v>1940</v>
      </c>
      <c r="H1654" s="240">
        <v>1940</v>
      </c>
      <c r="I1654" s="240">
        <f t="shared" ref="I1654" si="386">H1654-P1654-B1654-90</f>
        <v>-13</v>
      </c>
      <c r="J1654" s="242">
        <v>1940</v>
      </c>
      <c r="K1654" s="242">
        <f t="shared" ref="K1654" si="387">J1654-R1654-B1654-90</f>
        <v>-11</v>
      </c>
      <c r="L1654" s="244">
        <v>1940</v>
      </c>
      <c r="M1654" s="244">
        <f t="shared" ref="M1654" si="388">L1654-Q1654-B1654-90</f>
        <v>-24</v>
      </c>
      <c r="N1654" s="246">
        <v>1940</v>
      </c>
      <c r="O1654" s="246">
        <f t="shared" ref="O1654" si="389">N1654-S1654-B1654-90</f>
        <v>-9</v>
      </c>
      <c r="P1654" s="135">
        <v>43</v>
      </c>
      <c r="Q1654" s="135">
        <v>54</v>
      </c>
      <c r="R1654" s="135">
        <v>41</v>
      </c>
      <c r="S1654" s="237">
        <v>39</v>
      </c>
      <c r="U1654" s="137">
        <v>175</v>
      </c>
      <c r="V1654" s="138">
        <v>1610</v>
      </c>
      <c r="W1654" s="138">
        <v>1620</v>
      </c>
      <c r="X1654" s="138">
        <v>1630</v>
      </c>
      <c r="Z1654" s="137">
        <v>130</v>
      </c>
      <c r="AA1654" s="138">
        <v>1640</v>
      </c>
      <c r="AB1654" s="138">
        <v>1700</v>
      </c>
      <c r="AC1654" s="138">
        <v>1680</v>
      </c>
      <c r="AD1654" s="138">
        <v>1670</v>
      </c>
      <c r="AF1654" s="136">
        <v>1620</v>
      </c>
      <c r="AI1654" s="136">
        <v>1710</v>
      </c>
      <c r="AJ1654" s="137">
        <v>130</v>
      </c>
      <c r="AK1654" s="138">
        <v>1690</v>
      </c>
      <c r="AL1654" s="136">
        <v>1750</v>
      </c>
      <c r="AM1654" s="139">
        <v>125</v>
      </c>
      <c r="AN1654" s="138">
        <v>1730</v>
      </c>
      <c r="AO1654" s="138">
        <v>1660</v>
      </c>
      <c r="AP1654" s="138">
        <v>1730</v>
      </c>
      <c r="AQ1654" s="138">
        <v>1690</v>
      </c>
      <c r="AR1654" s="138">
        <v>1680</v>
      </c>
      <c r="AS1654" s="136">
        <v>1770</v>
      </c>
      <c r="AT1654" s="138">
        <v>1720</v>
      </c>
      <c r="AW1654" s="136">
        <v>1750</v>
      </c>
      <c r="AX1654" s="136">
        <v>1640</v>
      </c>
      <c r="AY1654" s="136">
        <v>1870</v>
      </c>
      <c r="AZ1654" s="136">
        <v>1820</v>
      </c>
      <c r="BA1654" s="136">
        <v>1898</v>
      </c>
      <c r="BB1654" s="136">
        <v>1844</v>
      </c>
      <c r="BC1654" s="136">
        <v>1970</v>
      </c>
      <c r="BD1654" s="136">
        <v>1970</v>
      </c>
      <c r="BE1654" s="136">
        <v>1940</v>
      </c>
      <c r="BF1654" s="136">
        <v>1940</v>
      </c>
      <c r="BG1654" s="136">
        <v>1924</v>
      </c>
      <c r="BH1654" s="136">
        <v>1950</v>
      </c>
      <c r="BI1654" s="136">
        <v>2110</v>
      </c>
      <c r="BJ1654" s="136">
        <v>1960</v>
      </c>
      <c r="BK1654" s="136">
        <v>1960</v>
      </c>
      <c r="BL1654" s="136">
        <v>1980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9" t="s">
        <v>134</v>
      </c>
      <c r="C1" s="550" t="s">
        <v>135</v>
      </c>
      <c r="D1" s="550" t="s">
        <v>136</v>
      </c>
      <c r="E1" s="551" t="s">
        <v>137</v>
      </c>
      <c r="F1" s="551" t="s">
        <v>138</v>
      </c>
      <c r="G1" s="552" t="s">
        <v>140</v>
      </c>
      <c r="H1" s="552" t="s">
        <v>141</v>
      </c>
      <c r="I1" s="552" t="s">
        <v>142</v>
      </c>
      <c r="J1" s="553" t="s">
        <v>134</v>
      </c>
      <c r="K1" s="553" t="s">
        <v>136</v>
      </c>
      <c r="L1" s="553" t="s">
        <v>144</v>
      </c>
      <c r="M1" s="553" t="s">
        <v>145</v>
      </c>
      <c r="N1" s="553" t="s">
        <v>146</v>
      </c>
      <c r="O1" s="553" t="s">
        <v>135</v>
      </c>
      <c r="P1" s="553" t="s">
        <v>147</v>
      </c>
      <c r="Q1" s="554" t="s">
        <v>149</v>
      </c>
      <c r="R1" s="554" t="s">
        <v>150</v>
      </c>
      <c r="S1" s="554" t="s">
        <v>151</v>
      </c>
      <c r="T1" s="554" t="s">
        <v>134</v>
      </c>
      <c r="U1" s="555" t="s">
        <v>178</v>
      </c>
      <c r="V1" s="555" t="s">
        <v>179</v>
      </c>
      <c r="W1" s="555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6" customFormat="1">
      <c r="B1" s="638" t="s">
        <v>510</v>
      </c>
      <c r="C1" s="638"/>
      <c r="D1" s="638"/>
      <c r="E1" s="638"/>
      <c r="F1" s="638" t="s">
        <v>511</v>
      </c>
      <c r="G1" s="638"/>
      <c r="H1" s="638"/>
      <c r="I1" s="638"/>
      <c r="J1" s="638" t="s">
        <v>512</v>
      </c>
      <c r="K1" s="638"/>
      <c r="L1" s="638"/>
      <c r="M1" s="638"/>
    </row>
    <row r="2" spans="1:13">
      <c r="A2" t="s">
        <v>505</v>
      </c>
      <c r="B2" t="s">
        <v>506</v>
      </c>
      <c r="C2" t="s">
        <v>507</v>
      </c>
      <c r="D2" t="s">
        <v>508</v>
      </c>
      <c r="E2" t="s">
        <v>509</v>
      </c>
      <c r="F2" s="556" t="s">
        <v>506</v>
      </c>
      <c r="G2" s="556" t="s">
        <v>507</v>
      </c>
      <c r="H2" s="556" t="s">
        <v>508</v>
      </c>
      <c r="I2" s="556" t="s">
        <v>509</v>
      </c>
      <c r="J2" s="556" t="s">
        <v>506</v>
      </c>
      <c r="K2" s="556" t="s">
        <v>507</v>
      </c>
      <c r="L2" s="556" t="s">
        <v>508</v>
      </c>
      <c r="M2" s="556" t="s">
        <v>509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78" t="s">
        <v>59</v>
      </c>
      <c r="G1" s="679"/>
      <c r="H1" s="678" t="s">
        <v>60</v>
      </c>
      <c r="I1" s="679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80" t="s">
        <v>75</v>
      </c>
      <c r="B16" s="681"/>
      <c r="C16" s="681"/>
      <c r="D16" s="681"/>
      <c r="E16" s="681"/>
      <c r="F16" s="681"/>
      <c r="G16" s="681"/>
      <c r="H16" s="681"/>
      <c r="I16" s="68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83" t="s">
        <v>76</v>
      </c>
      <c r="B1" s="683" t="s">
        <v>13</v>
      </c>
      <c r="C1" s="683" t="s">
        <v>14</v>
      </c>
      <c r="D1" s="684"/>
      <c r="E1" s="684"/>
      <c r="F1" s="683" t="s">
        <v>77</v>
      </c>
      <c r="G1" s="684"/>
      <c r="H1" s="684"/>
      <c r="I1" s="684"/>
      <c r="J1" s="684"/>
      <c r="K1" s="683" t="s">
        <v>78</v>
      </c>
      <c r="L1" s="684"/>
      <c r="M1" s="684"/>
      <c r="N1" s="683" t="s">
        <v>79</v>
      </c>
      <c r="O1" s="684"/>
      <c r="P1" s="684"/>
      <c r="Q1" s="683" t="s">
        <v>80</v>
      </c>
      <c r="R1" s="684"/>
      <c r="S1" s="684"/>
      <c r="T1" s="684"/>
      <c r="U1" s="98" t="s">
        <v>81</v>
      </c>
      <c r="V1" s="683" t="s">
        <v>82</v>
      </c>
      <c r="W1" s="684"/>
      <c r="X1" s="684"/>
    </row>
    <row r="2" spans="1:24">
      <c r="A2" s="683"/>
      <c r="B2" s="683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workbookViewId="0">
      <selection activeCell="G8" sqref="G8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43580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7"/>
      <c r="K1" s="567"/>
      <c r="L1" s="567"/>
      <c r="M1" s="568"/>
      <c r="N1" s="568"/>
      <c r="O1" s="558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6" t="s">
        <v>496</v>
      </c>
      <c r="V1" s="546" t="str">
        <f>P1</f>
        <v>企业</v>
      </c>
      <c r="W1" s="547" t="s">
        <v>497</v>
      </c>
      <c r="X1" s="546" t="s">
        <v>498</v>
      </c>
      <c r="Y1" s="546" t="s">
        <v>499</v>
      </c>
      <c r="Z1" s="546" t="s">
        <v>500</v>
      </c>
    </row>
    <row r="2" spans="1:26" ht="20.100000000000001" customHeight="1">
      <c r="A2" s="183" t="s">
        <v>116</v>
      </c>
      <c r="B2" s="232">
        <f>LOOKUP(2,1/(价格!T:T&lt;&gt;0),价格!T:T)</f>
        <v>1620</v>
      </c>
      <c r="C2" s="232">
        <f>LOOKUP(2,1/(价格!Y:Y&lt;&gt;0),价格!Y:Y)</f>
        <v>1690</v>
      </c>
      <c r="D2" s="232">
        <f>LOOKUP(2,1/(价格!AF:AF&lt;&gt;0),价格!AF:AF)</f>
        <v>1620</v>
      </c>
      <c r="E2" s="232">
        <f>LOOKUP(2,1/(价格!AI:AI&lt;&gt;0),价格!AI:AI)</f>
        <v>1710</v>
      </c>
      <c r="F2" s="232">
        <f>LOOKUP(2,1/(价格!AL:AL&lt;&gt;0),价格!AL:AL)</f>
        <v>1750</v>
      </c>
      <c r="G2" s="232">
        <f>LOOKUP(2,1/(价格!AS:AS&lt;&gt;0),价格!AS:AS)</f>
        <v>1770</v>
      </c>
      <c r="H2" s="232">
        <f>LOOKUP(2,1/(价格!AV:AV&lt;&gt;0),价格!AV:AV)</f>
        <v>1740</v>
      </c>
      <c r="J2" s="574"/>
      <c r="K2" s="565"/>
      <c r="L2" s="566"/>
      <c r="M2" s="233"/>
      <c r="N2" s="233"/>
      <c r="O2" s="572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69" t="str">
        <f>O2</f>
        <v>珠三角</v>
      </c>
      <c r="V2" s="545" t="str">
        <f>P2</f>
        <v>温氏</v>
      </c>
      <c r="W2" s="545">
        <f>R2</f>
        <v>30</v>
      </c>
      <c r="X2" s="569" t="str">
        <f>O14</f>
        <v>长三角</v>
      </c>
      <c r="Y2" s="545" t="str">
        <f>P14</f>
        <v>温氏</v>
      </c>
      <c r="Z2" s="545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574"/>
      <c r="K3" s="565"/>
      <c r="L3" s="566"/>
      <c r="M3" s="233"/>
      <c r="N3" s="233"/>
      <c r="O3" s="572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70"/>
      <c r="V3" s="545" t="str">
        <f t="shared" ref="V3:V6" si="1">P3</f>
        <v>双胞胎</v>
      </c>
      <c r="W3" s="545">
        <f t="shared" ref="W3:W6" si="2">R3</f>
        <v>20</v>
      </c>
      <c r="X3" s="570"/>
      <c r="Y3" s="545" t="str">
        <f t="shared" ref="Y3:Y8" si="3">P15</f>
        <v>海大</v>
      </c>
      <c r="Z3" s="545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1750</v>
      </c>
      <c r="J4" s="574"/>
      <c r="K4" s="565"/>
      <c r="L4" s="566"/>
      <c r="M4" s="233"/>
      <c r="N4" s="233"/>
      <c r="O4" s="572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70"/>
      <c r="V4" s="545" t="str">
        <f t="shared" si="1"/>
        <v>海大</v>
      </c>
      <c r="W4" s="545">
        <f t="shared" si="2"/>
        <v>15</v>
      </c>
      <c r="X4" s="570"/>
      <c r="Y4" s="545" t="str">
        <f t="shared" si="3"/>
        <v>正邦</v>
      </c>
      <c r="Z4" s="545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574"/>
      <c r="K5" s="565"/>
      <c r="L5" s="566"/>
      <c r="M5" s="233"/>
      <c r="N5" s="233"/>
      <c r="O5" s="572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70"/>
      <c r="V5" s="545" t="str">
        <f t="shared" si="1"/>
        <v>南宝</v>
      </c>
      <c r="W5" s="545">
        <f t="shared" si="2"/>
        <v>15</v>
      </c>
      <c r="X5" s="570"/>
      <c r="Y5" s="545" t="str">
        <f t="shared" si="3"/>
        <v>九鼎</v>
      </c>
      <c r="Z5" s="545">
        <f t="shared" si="4"/>
        <v>20</v>
      </c>
    </row>
    <row r="6" spans="1:26" ht="20.100000000000001" customHeight="1">
      <c r="A6" s="232" t="s">
        <v>113</v>
      </c>
      <c r="B6" s="232">
        <f>B2+B5</f>
        <v>1795</v>
      </c>
      <c r="C6" s="232">
        <f t="shared" ref="C6:H6" si="5">C2+C5</f>
        <v>1820</v>
      </c>
      <c r="D6" s="232">
        <f t="shared" si="5"/>
        <v>1870</v>
      </c>
      <c r="E6" s="232">
        <f t="shared" si="5"/>
        <v>1840</v>
      </c>
      <c r="F6" s="232">
        <f t="shared" si="5"/>
        <v>1855</v>
      </c>
      <c r="G6" s="232">
        <f t="shared" si="5"/>
        <v>1800</v>
      </c>
      <c r="H6" s="232">
        <f t="shared" si="5"/>
        <v>1810</v>
      </c>
      <c r="J6" s="574"/>
      <c r="K6" s="565"/>
      <c r="L6" s="566"/>
      <c r="M6" s="233"/>
      <c r="N6" s="233"/>
      <c r="O6" s="572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71"/>
      <c r="V6" s="545" t="str">
        <f t="shared" si="1"/>
        <v>小散企业</v>
      </c>
      <c r="W6" s="545">
        <f t="shared" si="2"/>
        <v>5</v>
      </c>
      <c r="X6" s="570"/>
      <c r="Y6" s="545" t="str">
        <f>P18</f>
        <v>唐人神</v>
      </c>
      <c r="Z6" s="545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1820</v>
      </c>
      <c r="C7" s="232">
        <f>LOOKUP(2,1/(价格!$B:$B&lt;&gt;0),价格!$B:$B)</f>
        <v>1820</v>
      </c>
      <c r="D7" s="232">
        <f>LOOKUP(2,1/(价格!$D:$D&lt;&gt;0),价格!$D:$D)</f>
        <v>1810</v>
      </c>
      <c r="E7" s="232">
        <f>LOOKUP(2,1/(价格!$B:$B&lt;&gt;0),价格!$B:$B)</f>
        <v>1820</v>
      </c>
      <c r="F7" s="232">
        <f>LOOKUP(2,1/(价格!$D:$D&lt;&gt;0),价格!$D:$D)</f>
        <v>1810</v>
      </c>
      <c r="G7" s="232">
        <f>LOOKUP(2,1/(价格!$D:$D&lt;&gt;0),价格!$D:$D)</f>
        <v>1810</v>
      </c>
      <c r="H7" s="232">
        <f>LOOKUP(2,1/(价格!$B:$B&lt;&gt;0),价格!$B:$B)</f>
        <v>1820</v>
      </c>
      <c r="J7" s="574"/>
      <c r="K7" s="565"/>
      <c r="L7" s="566"/>
      <c r="M7" s="233"/>
      <c r="N7" s="233"/>
      <c r="O7" s="572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69" t="s">
        <v>501</v>
      </c>
      <c r="V7" s="545" t="s">
        <v>502</v>
      </c>
      <c r="W7" s="545">
        <f>INDEX(饲料厂库存!U:U,COUNTA(饲料厂库存!$A:$A))</f>
        <v>20</v>
      </c>
      <c r="X7" s="570"/>
      <c r="Y7" s="545" t="str">
        <f t="shared" si="3"/>
        <v>双胞胎</v>
      </c>
      <c r="Z7" s="545">
        <f t="shared" si="4"/>
        <v>45</v>
      </c>
    </row>
    <row r="8" spans="1:26" ht="20.100000000000001" customHeight="1">
      <c r="A8" s="187" t="s">
        <v>114</v>
      </c>
      <c r="B8" s="259">
        <f>B7-B6</f>
        <v>25</v>
      </c>
      <c r="C8" s="259">
        <f t="shared" ref="C8:H8" si="6">C7-C6</f>
        <v>0</v>
      </c>
      <c r="D8" s="259">
        <f t="shared" si="6"/>
        <v>-60</v>
      </c>
      <c r="E8" s="259">
        <f t="shared" si="6"/>
        <v>-20</v>
      </c>
      <c r="F8" s="259">
        <f t="shared" si="6"/>
        <v>-45</v>
      </c>
      <c r="G8" s="259">
        <f t="shared" si="6"/>
        <v>10</v>
      </c>
      <c r="H8" s="259">
        <f t="shared" si="6"/>
        <v>10</v>
      </c>
      <c r="J8" s="233"/>
      <c r="K8" s="233"/>
      <c r="L8" s="566"/>
      <c r="M8" s="233"/>
      <c r="N8" s="233"/>
      <c r="O8" s="572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70"/>
      <c r="V8" s="545" t="s">
        <v>503</v>
      </c>
      <c r="W8" s="545">
        <f>INDEX(饲料厂库存!V:V,COUNTA(饲料厂库存!$A:$A))</f>
        <v>15</v>
      </c>
      <c r="X8" s="571"/>
      <c r="Y8" s="545" t="str">
        <f t="shared" si="3"/>
        <v>华农恒青</v>
      </c>
      <c r="Z8" s="545">
        <f t="shared" si="4"/>
        <v>25</v>
      </c>
    </row>
    <row r="9" spans="1:26" ht="20.100000000000001" customHeight="1">
      <c r="J9" s="574"/>
      <c r="K9" s="565"/>
      <c r="L9" s="566"/>
      <c r="M9" s="233"/>
      <c r="N9" s="233"/>
      <c r="O9" s="572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71"/>
      <c r="V9" s="545" t="s">
        <v>504</v>
      </c>
      <c r="W9" s="545">
        <f>INDEX(饲料厂库存!W:W,COUNTA(饲料厂库存!$A:$A))</f>
        <v>10</v>
      </c>
      <c r="X9" s="572" t="str">
        <f>O10</f>
        <v>福建</v>
      </c>
      <c r="Y9" s="545" t="str">
        <f>P10</f>
        <v>海新</v>
      </c>
      <c r="Z9" s="545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574"/>
      <c r="K10" s="565"/>
      <c r="L10" s="566"/>
      <c r="M10" s="233"/>
      <c r="N10" s="233"/>
      <c r="O10" s="572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69" t="str">
        <f>O7</f>
        <v>西南</v>
      </c>
      <c r="V10" s="545" t="str">
        <f>P7</f>
        <v>特驱</v>
      </c>
      <c r="W10" s="545">
        <f>R7</f>
        <v>25</v>
      </c>
      <c r="X10" s="572"/>
      <c r="Y10" s="545" t="str">
        <f>P11</f>
        <v>华龙</v>
      </c>
      <c r="Z10" s="545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574"/>
      <c r="K11" s="565"/>
      <c r="L11" s="566"/>
      <c r="M11" s="233"/>
      <c r="N11" s="233"/>
      <c r="O11" s="572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70"/>
      <c r="V11" s="545" t="str">
        <f>P8</f>
        <v>通威</v>
      </c>
      <c r="W11" s="545">
        <f>R8</f>
        <v>20</v>
      </c>
      <c r="X11" s="572"/>
      <c r="Y11" s="545" t="str">
        <f>P12</f>
        <v>傲农</v>
      </c>
      <c r="Z11" s="545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574"/>
      <c r="K12" s="565"/>
      <c r="L12" s="566"/>
      <c r="M12" s="233"/>
      <c r="N12" s="233"/>
      <c r="O12" s="572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71"/>
      <c r="V12" s="545" t="str">
        <f>P9</f>
        <v>希望</v>
      </c>
      <c r="W12" s="545">
        <f>R9</f>
        <v>20</v>
      </c>
      <c r="X12" s="572"/>
      <c r="Y12" s="545" t="str">
        <f>P13</f>
        <v>温氏</v>
      </c>
      <c r="Z12" s="545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574"/>
      <c r="K13" s="565"/>
      <c r="L13" s="566"/>
      <c r="M13" s="233"/>
      <c r="N13" s="233"/>
      <c r="O13" s="572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8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574"/>
      <c r="K14" s="565"/>
      <c r="L14" s="566"/>
      <c r="M14" s="233"/>
      <c r="N14" s="233"/>
      <c r="O14" s="572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1820</v>
      </c>
      <c r="C15" s="232">
        <f>LOOKUP(2,1/(价格!$D:$D&lt;&gt;0),价格!$D:$D)</f>
        <v>1810</v>
      </c>
      <c r="D15" s="232">
        <f>LOOKUP(2,1/(价格!$D:$D&lt;&gt;0),价格!$D:$D)</f>
        <v>1810</v>
      </c>
      <c r="E15" s="232">
        <f>LOOKUP(2,1/(价格!$B:$B&lt;&gt;0),价格!$B:$B)</f>
        <v>1820</v>
      </c>
      <c r="F15" s="233"/>
      <c r="G15" s="233"/>
      <c r="J15" s="574"/>
      <c r="K15" s="565"/>
      <c r="L15" s="566"/>
      <c r="M15" s="233"/>
      <c r="N15" s="233"/>
      <c r="O15" s="572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134</v>
      </c>
      <c r="C16" s="259">
        <f t="shared" ref="C16:E16" si="10">C15-C14</f>
        <v>62</v>
      </c>
      <c r="D16" s="259">
        <f t="shared" si="10"/>
        <v>20</v>
      </c>
      <c r="E16" s="259">
        <f t="shared" si="10"/>
        <v>-19</v>
      </c>
      <c r="F16" s="233"/>
      <c r="G16" s="233"/>
      <c r="J16" s="574"/>
      <c r="K16" s="565"/>
      <c r="L16" s="566"/>
      <c r="M16" s="233"/>
      <c r="N16" s="233"/>
      <c r="O16" s="572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6"/>
      <c r="M17" s="233"/>
      <c r="N17" s="233"/>
      <c r="O17" s="572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72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72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43580</v>
      </c>
      <c r="B20" s="235" t="s">
        <v>283</v>
      </c>
      <c r="C20" s="357" t="s">
        <v>233</v>
      </c>
      <c r="D20" s="357" t="s">
        <v>234</v>
      </c>
      <c r="E20" s="573" t="s">
        <v>304</v>
      </c>
      <c r="F20" s="573"/>
      <c r="G20" s="357" t="s">
        <v>233</v>
      </c>
      <c r="H20" s="357" t="s">
        <v>234</v>
      </c>
      <c r="I20" s="357" t="s">
        <v>298</v>
      </c>
      <c r="O20" s="572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72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0</v>
      </c>
      <c r="E21" s="572" t="s">
        <v>276</v>
      </c>
      <c r="F21" s="356" t="s">
        <v>267</v>
      </c>
      <c r="G21" s="356">
        <f>LOOKUP(2,1/(价格!B:B&lt;&gt;0),价格!B:B)</f>
        <v>1820</v>
      </c>
      <c r="H21" s="326">
        <f>INDEX(价格!B:B,COUNTA(价格!$A:$A)+1)-INDEX(价格!B:B,COUNTA(价格!$A:$A)-4)</f>
        <v>30</v>
      </c>
      <c r="I21" s="572"/>
    </row>
    <row r="22" spans="1:20">
      <c r="A22" s="572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0</v>
      </c>
      <c r="E22" s="572"/>
      <c r="F22" s="356" t="s">
        <v>268</v>
      </c>
      <c r="G22" s="326">
        <f>INDEX(价格!C:C,COUNTA(价格!$A:$A)+1)</f>
        <v>0</v>
      </c>
      <c r="H22" s="326"/>
      <c r="I22" s="572"/>
    </row>
    <row r="23" spans="1:20">
      <c r="A23" s="572"/>
      <c r="B23" s="311" t="s">
        <v>236</v>
      </c>
      <c r="C23" s="310">
        <f>LOOKUP(2,1/(价格!$AB:$AB&lt;&gt;0),价格!$AB:$AB)</f>
        <v>1700</v>
      </c>
      <c r="D23" s="326">
        <f>INDEX(价格!AB:AB,COUNTA(价格!A:A)+1)-INDEX(价格!AB:AB,COUNTA(价格!A:A)-4)</f>
        <v>20</v>
      </c>
      <c r="E23" s="572"/>
      <c r="F23" s="356" t="s">
        <v>269</v>
      </c>
      <c r="G23" s="356">
        <f>LOOKUP(2,1/(价格!D:D&lt;&gt;0),价格!D:D)</f>
        <v>1810</v>
      </c>
      <c r="H23" s="326">
        <f>INDEX(价格!D:D,COUNTA(价格!$A:$A)+1)-INDEX(价格!D:D,COUNTA(价格!$A:$A)-4)</f>
        <v>20</v>
      </c>
      <c r="I23" s="572"/>
      <c r="P23" s="233"/>
      <c r="Q23" s="189" t="s">
        <v>182</v>
      </c>
      <c r="R23" s="189" t="s">
        <v>183</v>
      </c>
      <c r="S23" s="189" t="s">
        <v>184</v>
      </c>
    </row>
    <row r="24" spans="1:20">
      <c r="A24" s="572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50</v>
      </c>
      <c r="E24" s="572"/>
      <c r="F24" s="356" t="s">
        <v>270</v>
      </c>
      <c r="G24" s="326">
        <f>INDEX(价格!E:E,COUNTA(价格!$A:$A)+1)</f>
        <v>0</v>
      </c>
      <c r="H24" s="326"/>
      <c r="I24" s="572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72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0</v>
      </c>
      <c r="E25" s="572"/>
      <c r="F25" s="310" t="s">
        <v>271</v>
      </c>
      <c r="G25" s="356">
        <f>LOOKUP(2,1/(价格!H:H&lt;&gt;0),价格!H:H)</f>
        <v>1940</v>
      </c>
      <c r="H25" s="326">
        <f>INDEX(价格!H:H,COUNTA(价格!$A:$A)+1)-INDEX(价格!H:H,COUNTA(价格!$A:$A)-4)</f>
        <v>30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72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0</v>
      </c>
      <c r="E26" s="572"/>
      <c r="F26" s="356" t="s">
        <v>272</v>
      </c>
      <c r="G26" s="356">
        <f>LOOKUP(2,1/(价格!L:L&lt;&gt;0),价格!L:L)</f>
        <v>1940</v>
      </c>
      <c r="H26" s="326">
        <f>INDEX(价格!L:L,COUNTA(价格!$A:$A)+1)-INDEX(价格!L:L,COUNTA(价格!$A:$A)-4)</f>
        <v>40</v>
      </c>
      <c r="I26" s="356"/>
      <c r="K26" s="267" t="s">
        <v>321</v>
      </c>
      <c r="L26" s="267">
        <v>3250.2</v>
      </c>
      <c r="M26" s="540">
        <v>3189.96</v>
      </c>
      <c r="N26" s="337">
        <f>(L26-M26)/M26</f>
        <v>1.8884249332279959E-2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72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0</v>
      </c>
      <c r="E27" s="572"/>
      <c r="F27" s="356" t="s">
        <v>273</v>
      </c>
      <c r="G27" s="356">
        <f>LOOKUP(2,1/(价格!J:J&lt;&gt;0),价格!J:J)</f>
        <v>1940</v>
      </c>
      <c r="H27" s="326">
        <f>INDEX(价格!J:J,COUNTA(价格!$A:$A)+1)-INDEX(价格!J:J,COUNTA(价格!$A:$A)-4)</f>
        <v>40</v>
      </c>
      <c r="I27" s="356"/>
      <c r="K27" s="267" t="s">
        <v>322</v>
      </c>
      <c r="L27" s="267">
        <v>2900.45</v>
      </c>
      <c r="M27" s="540">
        <v>2888.21</v>
      </c>
      <c r="N27" s="337">
        <f t="shared" ref="N27:N34" si="11">(L27-M27)/M27</f>
        <v>4.2379189878851541E-3</v>
      </c>
    </row>
    <row r="28" spans="1:20">
      <c r="A28" s="572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72"/>
      <c r="F28" s="356" t="s">
        <v>274</v>
      </c>
      <c r="G28" s="356">
        <f>LOOKUP(2,1/(价格!N:N&lt;&gt;0),价格!N:N)</f>
        <v>1940</v>
      </c>
      <c r="H28" s="326">
        <f>INDEX(价格!N:N,COUNTA(价格!$A:$A)+1)-INDEX(价格!N:N,COUNTA(价格!$A:$A)-4)</f>
        <v>30</v>
      </c>
      <c r="I28" s="356"/>
      <c r="K28" s="267" t="s">
        <v>323</v>
      </c>
      <c r="L28" s="267">
        <v>1.1294</v>
      </c>
      <c r="M28" s="540">
        <v>1.1284000000000001</v>
      </c>
      <c r="N28" s="337">
        <f t="shared" si="11"/>
        <v>8.8621056362982078E-4</v>
      </c>
    </row>
    <row r="29" spans="1:20">
      <c r="A29" s="572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72" t="s">
        <v>424</v>
      </c>
      <c r="F29" s="356" t="s">
        <v>301</v>
      </c>
      <c r="G29" s="356">
        <f>LOOKUP(2,1/(价格!BL:BL&lt;&gt;0),价格!BL:BL)</f>
        <v>1980</v>
      </c>
      <c r="H29" s="326">
        <f>INDEX(价格!BL:BL,COUNTA(价格!A:A)+1)-INDEX(价格!BL:BL,COUNTA(价格!A:A)-4)</f>
        <v>30</v>
      </c>
      <c r="I29" s="356"/>
      <c r="K29" s="267" t="s">
        <v>324</v>
      </c>
      <c r="L29" s="267">
        <v>1273.96</v>
      </c>
      <c r="M29" s="540">
        <v>1305.24</v>
      </c>
      <c r="N29" s="337">
        <f t="shared" si="11"/>
        <v>-2.3964941313474895E-2</v>
      </c>
    </row>
    <row r="30" spans="1:20">
      <c r="A30" s="572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0</v>
      </c>
      <c r="E30" s="572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30</v>
      </c>
      <c r="I30" s="356"/>
      <c r="K30" s="267" t="s">
        <v>325</v>
      </c>
      <c r="L30" s="267">
        <v>6.6932</v>
      </c>
      <c r="M30" s="540">
        <v>6.7232000000000003</v>
      </c>
      <c r="N30" s="337">
        <f t="shared" si="11"/>
        <v>-4.4621608757734778E-3</v>
      </c>
    </row>
    <row r="31" spans="1:20">
      <c r="A31" s="572"/>
      <c r="B31" s="310" t="s">
        <v>254</v>
      </c>
      <c r="C31" s="310">
        <f>LOOKUP(2,1/(价格!AP:AP&lt;&gt;0),价格!AP:AP)</f>
        <v>1730</v>
      </c>
      <c r="D31" s="326">
        <f>INDEX(价格!AP:AP,COUNTA(价格!A:A)+1)-INDEX(价格!AP:AP,COUNTA(价格!A:A)-4)</f>
        <v>20</v>
      </c>
      <c r="E31" s="572"/>
      <c r="F31" s="356" t="s">
        <v>302</v>
      </c>
      <c r="G31" s="356">
        <f>LOOKUP(2,1/(价格!BI:BI&lt;&gt;0),价格!BI:BI)</f>
        <v>2110</v>
      </c>
      <c r="H31" s="326">
        <f>INDEX(价格!BI:BI,COUNTA(价格!A:A)+1)-INDEX(价格!BI:BI,COUNTA(价格!A:A)-4)</f>
        <v>10</v>
      </c>
      <c r="I31" s="356"/>
      <c r="K31" s="267" t="s">
        <v>326</v>
      </c>
      <c r="L31" s="267">
        <v>71.45</v>
      </c>
      <c r="M31" s="540">
        <v>71.33</v>
      </c>
      <c r="N31" s="337">
        <f t="shared" si="11"/>
        <v>1.682321603813326E-3</v>
      </c>
    </row>
    <row r="32" spans="1:20">
      <c r="A32" s="572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0</v>
      </c>
      <c r="E32" s="572"/>
      <c r="F32" s="356" t="s">
        <v>303</v>
      </c>
      <c r="G32" s="356">
        <f>LOOKUP(2,1/(价格!BK:BK&lt;&gt;0),价格!BK:BK)</f>
        <v>1960</v>
      </c>
      <c r="H32" s="326">
        <f>INDEX(价格!BK:BK,COUNTA(价格!A:A)+1)-INDEX(价格!BK:BK,COUNTA(价格!A:A)-4)</f>
        <v>10</v>
      </c>
      <c r="I32" s="356"/>
      <c r="K32" s="267" t="s">
        <v>327</v>
      </c>
      <c r="L32" s="267">
        <v>5299.9</v>
      </c>
      <c r="M32" s="540">
        <v>5204</v>
      </c>
      <c r="N32" s="337">
        <f t="shared" si="11"/>
        <v>1.8428132205995318E-2</v>
      </c>
    </row>
    <row r="33" spans="1:14">
      <c r="A33" s="572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40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367</v>
      </c>
      <c r="M33" s="540">
        <v>362</v>
      </c>
      <c r="N33" s="337">
        <f t="shared" si="11"/>
        <v>1.3812154696132596E-2</v>
      </c>
    </row>
    <row r="34" spans="1:14">
      <c r="A34" s="572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1895</v>
      </c>
      <c r="M34" s="540">
        <v>1881</v>
      </c>
      <c r="N34" s="337">
        <f t="shared" si="11"/>
        <v>7.4428495481127059E-3</v>
      </c>
    </row>
    <row r="35" spans="1:14">
      <c r="A35" s="572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72" t="s">
        <v>280</v>
      </c>
      <c r="B36" s="356" t="s">
        <v>259</v>
      </c>
      <c r="C36" s="356">
        <f>LOOKUP(2,1/(价格!AW:AW&lt;&gt;0),价格!AW:AW)</f>
        <v>1750</v>
      </c>
      <c r="D36" s="326">
        <f>INDEX(价格!AW:AW,COUNTA(价格!A:A)+1)-INDEX(价格!AW:AW,COUNTA(价格!A:A)-4)</f>
        <v>20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72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20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0</v>
      </c>
      <c r="E38" s="356" t="s">
        <v>288</v>
      </c>
      <c r="F38" s="356">
        <f>LOOKUP(2,1/(NSPort!X:X&lt;&gt;0),NSPort!X:X)</f>
        <v>98.399999999999977</v>
      </c>
      <c r="G38" s="356">
        <f>LOOKUP(2,1/(NSPort!Y:Y&lt;&gt;0),NSPort!Y:Y)</f>
        <v>11.2</v>
      </c>
      <c r="H38" s="356">
        <f>LOOKUP(2,1/(NSPort!Z:Z&lt;&gt;0),NSPort!Z:Z)</f>
        <v>16.600000000000001</v>
      </c>
      <c r="I38" s="356">
        <f>LOOKUP(2,1/(NSPort!AA:AA&lt;&gt;0),NSPort!AA:AA)</f>
        <v>92.999999999999972</v>
      </c>
      <c r="J38" s="288"/>
    </row>
    <row r="39" spans="1:14">
      <c r="A39" s="572" t="s">
        <v>277</v>
      </c>
      <c r="B39" s="356" t="s">
        <v>266</v>
      </c>
      <c r="C39" s="356">
        <f>LOOKUP(2,1/(价格!$AY:$AY&lt;&gt;0),价格!$AY:$AY)</f>
        <v>1870</v>
      </c>
      <c r="D39" s="326">
        <f>INDEX(价格!AY:AY,COUNTA(价格!A:A)+1)-INDEX(价格!AY:AY,COUNTA(价格!A:A)-4)</f>
        <v>20</v>
      </c>
      <c r="E39" s="356" t="s">
        <v>289</v>
      </c>
      <c r="F39" s="356">
        <f>LOOKUP(2,1/(NSPort!AN:AN&lt;&gt;0),NSPort!AN:AN)</f>
        <v>23.300000000000011</v>
      </c>
      <c r="G39" s="356">
        <f>LOOKUP(2,1/(NSPort!AO:AO&lt;&gt;0),NSPort!AO:AO)</f>
        <v>5.0999999999999996</v>
      </c>
      <c r="H39" s="356">
        <f>LOOKUP(2,1/(NSPort!AP:AP&lt;&gt;0),NSPort!AP:AP)</f>
        <v>7.1</v>
      </c>
      <c r="I39" s="356">
        <f>LOOKUP(2,1/(NSPort!AQ:AQ&lt;&gt;0),NSPort!AQ:AQ)</f>
        <v>21.300000000000011</v>
      </c>
      <c r="J39" s="288"/>
    </row>
    <row r="40" spans="1:14">
      <c r="A40" s="572"/>
      <c r="B40" s="356" t="s">
        <v>430</v>
      </c>
      <c r="C40" s="356">
        <f>LOOKUP(2,1/(价格!$AZ:$AZ&lt;&gt;0),价格!$AZ:$AZ)</f>
        <v>1820</v>
      </c>
      <c r="D40" s="326">
        <f>INDEX(价格!AZ:AZ,COUNTA(价格!A:A)+1)-INDEX(价格!AZ:AZ,COUNTA(价格!A:A)-4)</f>
        <v>-30</v>
      </c>
      <c r="E40" s="356" t="s">
        <v>290</v>
      </c>
      <c r="F40" s="356">
        <f>LOOKUP(2,1/(NSPort!AJ:AJ&lt;&gt;0),NSPort!AJ:AJ)</f>
        <v>18.899999999999984</v>
      </c>
      <c r="G40" s="356">
        <f>LOOKUP(2,1/(NSPort!AK:AK&lt;&gt;0),NSPort!AK:AK)</f>
        <v>4.9000000000000004</v>
      </c>
      <c r="H40" s="356">
        <f>LOOKUP(2,1/(NSPort!AL:AL&lt;&gt;0),NSPort!AL:AL)</f>
        <v>3.1</v>
      </c>
      <c r="I40" s="356">
        <f>LOOKUP(2,1/(NSPort!AM:AM&lt;&gt;0),NSPort!AM:AM)</f>
        <v>15.799999999999985</v>
      </c>
    </row>
    <row r="41" spans="1:14">
      <c r="A41" s="572" t="s">
        <v>278</v>
      </c>
      <c r="B41" s="356" t="s">
        <v>262</v>
      </c>
      <c r="C41" s="356">
        <f>LOOKUP(2,1/(价格!$BC:$BC&lt;&gt;0),价格!$BC:$BC)</f>
        <v>1970</v>
      </c>
      <c r="D41" s="326">
        <f>INDEX(价格!BC:BC,COUNTA(价格!A:A)+1)-INDEX(价格!BC:BC,COUNTA(价格!A:A)-4)</f>
        <v>30</v>
      </c>
      <c r="E41" s="573" t="s">
        <v>349</v>
      </c>
      <c r="F41" s="573"/>
      <c r="G41" s="357" t="s">
        <v>350</v>
      </c>
      <c r="H41" s="357" t="s">
        <v>351</v>
      </c>
      <c r="I41" s="357" t="s">
        <v>352</v>
      </c>
    </row>
    <row r="42" spans="1:14">
      <c r="A42" s="572"/>
      <c r="B42" s="356" t="s">
        <v>263</v>
      </c>
      <c r="C42" s="356">
        <f>LOOKUP(2,1/(价格!$BD:$BD&lt;&gt;0),价格!$BD:$BD)</f>
        <v>1970</v>
      </c>
      <c r="D42" s="326">
        <f>INDEX(价格!BD:BD,COUNTA(价格!A:A)+1)-INDEX(价格!BD:BD,COUNTA(价格!A:A)-4)</f>
        <v>20</v>
      </c>
      <c r="E42" s="572" t="s">
        <v>347</v>
      </c>
      <c r="F42" s="572"/>
      <c r="G42" s="356">
        <f>INDEX(NSPort!V:V, COUNTA(NSPort!A:A)+1)</f>
        <v>482.20000000000016</v>
      </c>
      <c r="H42" s="356">
        <f>INDEX(NSPort!V:V, COUNTA(NSPort!A:A)-50)</f>
        <v>258.09999999999997</v>
      </c>
      <c r="I42" s="289">
        <f>(G42-H42)/H42</f>
        <v>0.86826811313444485</v>
      </c>
    </row>
    <row r="43" spans="1:14">
      <c r="A43" s="572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0</v>
      </c>
      <c r="E43" s="572" t="s">
        <v>348</v>
      </c>
      <c r="F43" s="572"/>
      <c r="G43" s="356">
        <f>INDEX(NSPort!AA:AA, COUNTA(NSPort!A:A)+1)+INDEX(NSPort!AM:AM, COUNTA(NSPort!A:A)+1)</f>
        <v>117.29999999999995</v>
      </c>
      <c r="H43" s="356">
        <f>INDEX(NSPort!AA:AA, COUNTA(NSPort!A:A)-50)+INDEX(NSPort!AM:AM, COUNTA(NSPort!A:A)-50)</f>
        <v>57.5</v>
      </c>
      <c r="I43" s="289">
        <f>(G43-H43)/H43</f>
        <v>1.0399999999999991</v>
      </c>
    </row>
    <row r="44" spans="1:14">
      <c r="A44" s="572"/>
      <c r="B44" s="356" t="s">
        <v>265</v>
      </c>
      <c r="C44" s="356">
        <f>LOOKUP(2,1/(价格!BF:BF&lt;&gt;0),价格!BF:BF)</f>
        <v>1940</v>
      </c>
      <c r="D44" s="326">
        <f>INDEX(价格!BF:BF,COUNTA(价格!A:A)+1)-INDEX(价格!BF:BF,COUNTA(价格!A:A)-4)</f>
        <v>10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72"/>
      <c r="B45" s="356" t="s">
        <v>432</v>
      </c>
      <c r="C45" s="356">
        <f>LOOKUP(2,1/(价格!BB:BB&lt;&gt;0),价格!BB:BB)</f>
        <v>1844</v>
      </c>
      <c r="D45" s="326">
        <f>INDEX(价格!BB:BB,COUNTA(价格!A:A)+1)-INDEX(价格!BB:BB,COUNTA(价格!A:A)-4)</f>
        <v>-18</v>
      </c>
      <c r="E45" s="310" t="s">
        <v>294</v>
      </c>
      <c r="F45" s="356">
        <f>LOOKUP(2,1/(价格!$H:$H&lt;&gt;0),价格!$H:$H)</f>
        <v>1940</v>
      </c>
      <c r="G45" s="356">
        <f>LOOKUP(2,1/(价格!$P:$P&lt;&gt;0),价格!$P:$P)</f>
        <v>43</v>
      </c>
      <c r="H45" s="258">
        <f>LOOKUP(2,1/(价格!$I:$I&lt;&gt;0),价格!$I:$I)</f>
        <v>-13</v>
      </c>
      <c r="I45" s="326">
        <f>INDEX(价格!I:I,COUNTA(价格!$A:$A)+1)-INDEX(价格!I:I,COUNTA(价格!$A:$A)-4)</f>
        <v>-1</v>
      </c>
    </row>
    <row r="46" spans="1:14">
      <c r="A46" s="572"/>
      <c r="B46" s="356" t="s">
        <v>435</v>
      </c>
      <c r="C46" s="356">
        <f>LOOKUP(2,1/(价格!BA:BA&lt;&gt;0),价格!BA:BA)</f>
        <v>1898</v>
      </c>
      <c r="D46" s="326">
        <f>INDEX(价格!BA:BA,COUNTA(价格!A:A)+1)-INDEX(价格!BA:BA,COUNTA(价格!A:A)-4)</f>
        <v>-12</v>
      </c>
      <c r="E46" s="356" t="s">
        <v>295</v>
      </c>
      <c r="F46" s="356">
        <f>LOOKUP(2,1/(价格!$L:$L&lt;&gt;0),价格!$L:$L)</f>
        <v>1940</v>
      </c>
      <c r="G46" s="356">
        <f>LOOKUP(2,1/(价格!$Q:$Q&lt;&gt;0),价格!$Q:$Q)</f>
        <v>54</v>
      </c>
      <c r="H46" s="258">
        <f>LOOKUP(2,1/(价格!$M:$M&lt;&gt;0),价格!$M:$M)</f>
        <v>-24</v>
      </c>
      <c r="I46" s="326">
        <f>INDEX(价格!M:M,COUNTA(价格!$A:$A)+1)-INDEX(价格!M:M,COUNTA(价格!$A:$A)-4)</f>
        <v>9</v>
      </c>
    </row>
    <row r="47" spans="1:14">
      <c r="A47" s="572"/>
      <c r="B47" s="356" t="s">
        <v>436</v>
      </c>
      <c r="C47" s="356">
        <f>LOOKUP(2,1/(价格!BG:BG&lt;&gt;0),价格!BG:BG)</f>
        <v>1924</v>
      </c>
      <c r="D47" s="326">
        <f>INDEX(价格!BG:BG,COUNTA(价格!A:A)+1)-INDEX(价格!BG:BG,COUNTA(价格!A:A)-4)</f>
        <v>-16</v>
      </c>
      <c r="E47" s="356" t="s">
        <v>299</v>
      </c>
      <c r="F47" s="356">
        <f>LOOKUP(2,1/(价格!$J:$J&lt;&gt;0),价格!$J:$J)</f>
        <v>1940</v>
      </c>
      <c r="G47" s="356">
        <f>LOOKUP(2,1/(价格!$R:$R&lt;&gt;0),价格!$R:$R)</f>
        <v>41</v>
      </c>
      <c r="H47" s="258">
        <f>LOOKUP(2,1/(价格!$K:$K&lt;&gt;0),价格!$K:$K)</f>
        <v>-11</v>
      </c>
      <c r="I47" s="326">
        <f>INDEX(价格!K:K,COUNTA(价格!$A:$A)+1)-INDEX(价格!K:K,COUNTA(价格!$A:$A)-4)</f>
        <v>9</v>
      </c>
    </row>
    <row r="48" spans="1:14">
      <c r="A48" s="572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0</v>
      </c>
      <c r="E48" s="356" t="s">
        <v>300</v>
      </c>
      <c r="F48" s="356">
        <f>LOOKUP(2,1/(价格!$N:$N&lt;&gt;0),价格!$N:$N)</f>
        <v>1940</v>
      </c>
      <c r="G48" s="356">
        <f>LOOKUP(2,1/(价格!$S:$S&lt;&gt;0),价格!$S:$S)</f>
        <v>39</v>
      </c>
      <c r="H48" s="258">
        <f>LOOKUP(2,1/(价格!$O:$O&lt;&gt;0),价格!$O:$O)</f>
        <v>-9</v>
      </c>
      <c r="I48" s="326">
        <f>INDEX(价格!O:O,COUNTA(价格!$A:$A)+1)-INDEX(价格!O:O,COUNTA(价格!$A:$A)-4)</f>
        <v>0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U2:U6"/>
    <mergeCell ref="X2:X8"/>
    <mergeCell ref="X9:X12"/>
    <mergeCell ref="U10:U12"/>
    <mergeCell ref="U7:U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43580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75">
        <f ca="1">TODAY()</f>
        <v>43580</v>
      </c>
      <c r="B3" s="576"/>
      <c r="C3" s="577"/>
      <c r="D3" s="583" t="s">
        <v>387</v>
      </c>
      <c r="E3" s="584"/>
      <c r="F3" s="584"/>
      <c r="G3" s="585"/>
      <c r="H3" s="586" t="s">
        <v>113</v>
      </c>
      <c r="I3" s="587"/>
      <c r="J3" s="587"/>
      <c r="K3" s="587"/>
      <c r="L3" s="588"/>
      <c r="M3" s="589" t="s">
        <v>385</v>
      </c>
      <c r="N3" s="590"/>
      <c r="O3" s="591" t="s">
        <v>370</v>
      </c>
      <c r="P3" s="592"/>
      <c r="Q3" s="592"/>
      <c r="R3" s="592"/>
      <c r="S3" s="593"/>
      <c r="T3" s="591" t="s">
        <v>376</v>
      </c>
      <c r="U3" s="592"/>
      <c r="V3" s="592"/>
      <c r="W3" s="592"/>
      <c r="X3" s="592"/>
      <c r="Y3" s="593"/>
      <c r="Z3" s="578" t="s">
        <v>409</v>
      </c>
      <c r="AA3" s="579"/>
      <c r="AB3" s="580"/>
      <c r="AC3" s="581" t="s">
        <v>391</v>
      </c>
      <c r="AD3" s="582"/>
      <c r="AE3" s="582"/>
      <c r="AF3" s="582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1870</v>
      </c>
      <c r="O5" s="184">
        <v>4</v>
      </c>
      <c r="P5" s="184">
        <v>5</v>
      </c>
      <c r="Q5" s="295">
        <f ca="1">C5*0.1*($D$2-$C$2)/365</f>
        <v>-52.136986301369866</v>
      </c>
      <c r="R5" s="295">
        <f ca="1">AA5*0.2*0.1*($D$2-$C$2)/365</f>
        <v>-11.283287671232879</v>
      </c>
      <c r="S5" s="295">
        <f ca="1">SUM(O5:R5)</f>
        <v>-54.420273972602743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1889.7797260273974</v>
      </c>
      <c r="AA5" s="304">
        <f>$B$2</f>
        <v>1872</v>
      </c>
      <c r="AB5" s="306">
        <f ca="1">AA5-Z5</f>
        <v>-17.779726027397373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1970</v>
      </c>
      <c r="O6" s="184">
        <v>4</v>
      </c>
      <c r="P6" s="184">
        <v>5</v>
      </c>
      <c r="Q6" s="295">
        <f ca="1">C6*0.1*($D$2-$C$2)/365</f>
        <v>-54.547945205479451</v>
      </c>
      <c r="R6" s="295">
        <f ca="1">AA6*0.2*0.1*($D$2-$C$2)/365</f>
        <v>-11.283287671232879</v>
      </c>
      <c r="S6" s="295">
        <f ca="1">SUM(O6:R6)</f>
        <v>-56.831232876712328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1905.8687671232876</v>
      </c>
      <c r="AA6" s="304">
        <f>$B$2</f>
        <v>1872</v>
      </c>
      <c r="AB6" s="306">
        <f ca="1">AA6-Z6</f>
        <v>-33.868767123287626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1700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-54.57808219178083</v>
      </c>
      <c r="R7" s="295">
        <f ca="1">AA7*0.2*0.1*($D$2-$C$2)/365</f>
        <v>-11.283287671232879</v>
      </c>
      <c r="S7" s="295">
        <f ca="1">SUM(O7:R7)</f>
        <v>-56.861369863013707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2009.3386301369862</v>
      </c>
      <c r="AA7" s="304">
        <f>$B$2</f>
        <v>1872</v>
      </c>
      <c r="AB7" s="306">
        <f ca="1">AA7-Z7</f>
        <v>-137.33863013698624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1750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1970</v>
      </c>
      <c r="O8" s="184">
        <v>4</v>
      </c>
      <c r="P8" s="184">
        <v>5</v>
      </c>
      <c r="Q8" s="295">
        <f ca="1">C8*0.1*($D$2-$C$2)/365</f>
        <v>-53.31232876712329</v>
      </c>
      <c r="R8" s="295">
        <f ca="1">AA8*0.2*0.1*($D$2-$C$2)/365</f>
        <v>-11.283287671232879</v>
      </c>
      <c r="S8" s="295">
        <f ca="1">SUM(O8:R8)</f>
        <v>-55.595616438356167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1920.0043835616439</v>
      </c>
      <c r="AA8" s="304">
        <f>$B$2</f>
        <v>1872</v>
      </c>
      <c r="AB8" s="306">
        <f ca="1">AA8-Z8</f>
        <v>-48.004383561643863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-54.57808219178083</v>
      </c>
      <c r="R9" s="295">
        <f ca="1">AA9*0.2*0.1*($D$2-$C$2)/365</f>
        <v>-11.283287671232879</v>
      </c>
      <c r="S9" s="295">
        <f ca="1">SUM(O9:R9)</f>
        <v>-56.861369863013707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1952.7386301369863</v>
      </c>
      <c r="AA9" s="304">
        <f>$B$2</f>
        <v>1872</v>
      </c>
      <c r="AB9" s="306">
        <f ca="1">AA9-Z9</f>
        <v>-80.73863013698633</v>
      </c>
      <c r="AC9" s="299"/>
      <c r="AD9" s="300"/>
      <c r="AE9" s="302"/>
      <c r="AF9" s="302"/>
    </row>
    <row r="15" spans="1:32">
      <c r="A15" s="201">
        <f ca="1">A3</f>
        <v>43580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1700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1750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defaultRowHeight="13.5"/>
  <cols>
    <col min="1" max="1" width="11.625" bestFit="1" customWidth="1"/>
    <col min="3" max="3" width="11.125" style="557" customWidth="1"/>
    <col min="4" max="4" width="9" style="557"/>
    <col min="5" max="5" width="17.75" customWidth="1"/>
  </cols>
  <sheetData>
    <row r="1" spans="1:5">
      <c r="B1" t="s">
        <v>457</v>
      </c>
      <c r="C1" s="557" t="s">
        <v>513</v>
      </c>
      <c r="D1" s="557" t="s">
        <v>514</v>
      </c>
      <c r="E1" t="s">
        <v>458</v>
      </c>
    </row>
    <row r="2" spans="1:5">
      <c r="A2" s="201">
        <v>42963</v>
      </c>
      <c r="B2">
        <v>34.909999999999997</v>
      </c>
    </row>
    <row r="3" spans="1:5">
      <c r="A3" s="201">
        <v>42970</v>
      </c>
      <c r="B3">
        <v>34.78</v>
      </c>
      <c r="E3" s="500"/>
    </row>
    <row r="4" spans="1:5">
      <c r="A4" s="201">
        <v>42977</v>
      </c>
      <c r="B4">
        <v>34.76</v>
      </c>
      <c r="E4" s="500"/>
    </row>
    <row r="5" spans="1:5">
      <c r="A5" s="201">
        <v>42984</v>
      </c>
      <c r="B5">
        <v>34.68</v>
      </c>
      <c r="E5" s="500"/>
    </row>
    <row r="6" spans="1:5">
      <c r="A6" s="201">
        <v>42991</v>
      </c>
      <c r="B6">
        <v>34.450000000000003</v>
      </c>
      <c r="E6" s="500"/>
    </row>
    <row r="7" spans="1:5">
      <c r="A7" s="201">
        <v>42998</v>
      </c>
      <c r="B7">
        <v>34.11</v>
      </c>
      <c r="E7" s="500"/>
    </row>
    <row r="8" spans="1:5">
      <c r="A8" s="201">
        <v>43005</v>
      </c>
      <c r="B8">
        <v>33.729999999999997</v>
      </c>
      <c r="E8" s="500"/>
    </row>
    <row r="9" spans="1:5">
      <c r="A9" s="201">
        <v>43017</v>
      </c>
      <c r="B9">
        <v>33.299999999999997</v>
      </c>
      <c r="E9" s="500"/>
    </row>
    <row r="10" spans="1:5">
      <c r="A10" s="201">
        <v>43019</v>
      </c>
      <c r="B10">
        <v>33.01</v>
      </c>
      <c r="E10" s="500"/>
    </row>
    <row r="11" spans="1:5">
      <c r="A11" s="201">
        <v>43026</v>
      </c>
      <c r="B11">
        <v>32.47</v>
      </c>
      <c r="E11" s="500"/>
    </row>
    <row r="12" spans="1:5">
      <c r="A12" s="201">
        <v>43033</v>
      </c>
      <c r="B12">
        <v>32.03</v>
      </c>
      <c r="E12" s="500"/>
    </row>
    <row r="13" spans="1:5">
      <c r="A13" s="201">
        <v>43040</v>
      </c>
      <c r="B13">
        <v>31.55</v>
      </c>
      <c r="E13" s="500"/>
    </row>
    <row r="14" spans="1:5">
      <c r="A14" s="201">
        <v>43047</v>
      </c>
      <c r="B14">
        <v>31.13</v>
      </c>
      <c r="E14" s="500"/>
    </row>
    <row r="15" spans="1:5">
      <c r="A15" s="201">
        <v>43054</v>
      </c>
      <c r="B15">
        <v>30.55</v>
      </c>
      <c r="E15" s="500"/>
    </row>
    <row r="16" spans="1:5">
      <c r="A16" s="201">
        <v>43061</v>
      </c>
      <c r="B16">
        <v>30.58</v>
      </c>
      <c r="E16" s="500"/>
    </row>
    <row r="17" spans="1:5">
      <c r="A17" s="201">
        <v>43096</v>
      </c>
      <c r="B17">
        <v>30.55</v>
      </c>
      <c r="E17" s="500"/>
    </row>
    <row r="18" spans="1:5">
      <c r="A18" s="201">
        <v>43103</v>
      </c>
      <c r="B18">
        <v>30.54</v>
      </c>
      <c r="E18" s="500"/>
    </row>
    <row r="19" spans="1:5">
      <c r="A19" s="201">
        <v>43110</v>
      </c>
      <c r="B19">
        <v>30.6</v>
      </c>
      <c r="E19" s="500"/>
    </row>
    <row r="20" spans="1:5">
      <c r="A20" s="201">
        <v>43117</v>
      </c>
      <c r="E20" s="500"/>
    </row>
    <row r="21" spans="1:5">
      <c r="A21" s="201">
        <v>43124</v>
      </c>
      <c r="B21">
        <v>30.7</v>
      </c>
      <c r="E21" s="500"/>
    </row>
    <row r="22" spans="1:5">
      <c r="A22" s="201">
        <v>43131</v>
      </c>
      <c r="B22">
        <v>30.56</v>
      </c>
      <c r="C22" s="557">
        <v>19.68</v>
      </c>
      <c r="D22" s="557">
        <v>84.13</v>
      </c>
      <c r="E22" s="500"/>
    </row>
    <row r="23" spans="1:5">
      <c r="A23" s="201">
        <v>43138</v>
      </c>
      <c r="B23">
        <v>30.22</v>
      </c>
      <c r="C23" s="557">
        <v>18.690000000000001</v>
      </c>
      <c r="D23" s="557">
        <v>84.13</v>
      </c>
      <c r="E23" s="500"/>
    </row>
    <row r="24" spans="1:5">
      <c r="A24" s="201">
        <v>43145</v>
      </c>
      <c r="E24" s="500"/>
    </row>
    <row r="25" spans="1:5">
      <c r="A25" s="201">
        <v>43152</v>
      </c>
      <c r="B25">
        <v>29.87</v>
      </c>
      <c r="C25" s="557">
        <v>18.170000000000002</v>
      </c>
      <c r="E25" s="500"/>
    </row>
    <row r="26" spans="1:5">
      <c r="A26" s="201">
        <v>43159</v>
      </c>
      <c r="B26">
        <v>29.27</v>
      </c>
      <c r="C26" s="557">
        <v>15.63</v>
      </c>
      <c r="D26" s="557">
        <v>83.43</v>
      </c>
      <c r="E26" s="500"/>
    </row>
    <row r="27" spans="1:5">
      <c r="A27" s="201">
        <v>43166</v>
      </c>
      <c r="C27" s="557">
        <v>15.23</v>
      </c>
      <c r="D27" s="557">
        <v>83.56</v>
      </c>
      <c r="E27" s="500"/>
    </row>
    <row r="28" spans="1:5">
      <c r="A28" s="201">
        <v>43173</v>
      </c>
      <c r="B28">
        <v>28</v>
      </c>
      <c r="C28" s="557">
        <v>14.9</v>
      </c>
      <c r="D28" s="557">
        <v>83.72</v>
      </c>
      <c r="E28" s="500"/>
    </row>
    <row r="29" spans="1:5">
      <c r="A29" s="201">
        <v>43180</v>
      </c>
      <c r="B29">
        <v>27.32</v>
      </c>
      <c r="C29" s="557">
        <v>14.09</v>
      </c>
      <c r="D29" s="557">
        <v>83.93</v>
      </c>
      <c r="E29" s="500"/>
    </row>
    <row r="30" spans="1:5">
      <c r="A30" s="201">
        <v>43187</v>
      </c>
      <c r="B30">
        <v>26.68</v>
      </c>
      <c r="C30" s="557">
        <v>13.91</v>
      </c>
      <c r="D30" s="557">
        <v>84</v>
      </c>
      <c r="E30" s="500"/>
    </row>
    <row r="31" spans="1:5">
      <c r="A31" s="201">
        <v>43194</v>
      </c>
      <c r="B31">
        <v>26.44</v>
      </c>
      <c r="C31" s="557">
        <v>13.88</v>
      </c>
      <c r="D31" s="557">
        <v>84.05</v>
      </c>
      <c r="E31" s="500"/>
    </row>
    <row r="32" spans="1:5">
      <c r="A32" s="201">
        <v>43201</v>
      </c>
      <c r="B32">
        <v>26.07</v>
      </c>
      <c r="C32" s="557">
        <v>13.84</v>
      </c>
      <c r="D32" s="557">
        <v>84.11</v>
      </c>
      <c r="E32" s="500"/>
    </row>
    <row r="33" spans="1:5">
      <c r="A33" s="201">
        <v>43208</v>
      </c>
      <c r="B33">
        <v>25.77</v>
      </c>
      <c r="C33" s="557">
        <v>13.79</v>
      </c>
      <c r="D33" s="557">
        <v>84.17</v>
      </c>
      <c r="E33" s="500"/>
    </row>
    <row r="34" spans="1:5">
      <c r="A34" s="201">
        <v>43215</v>
      </c>
      <c r="B34">
        <v>25.39</v>
      </c>
      <c r="C34" s="557">
        <v>13.76</v>
      </c>
      <c r="D34" s="557">
        <v>84.2</v>
      </c>
      <c r="E34" s="500"/>
    </row>
    <row r="35" spans="1:5">
      <c r="A35" s="201">
        <v>43222</v>
      </c>
      <c r="B35">
        <v>25</v>
      </c>
      <c r="C35" s="557">
        <v>13.74</v>
      </c>
      <c r="D35" s="557">
        <v>84.13</v>
      </c>
      <c r="E35" s="500"/>
    </row>
    <row r="36" spans="1:5">
      <c r="A36" s="201">
        <v>43229</v>
      </c>
      <c r="B36">
        <v>24.4</v>
      </c>
      <c r="C36" s="557">
        <v>13.67</v>
      </c>
      <c r="D36" s="557">
        <v>84.13</v>
      </c>
      <c r="E36" s="500"/>
    </row>
    <row r="37" spans="1:5">
      <c r="A37" s="201">
        <v>43236</v>
      </c>
      <c r="B37">
        <v>23.74</v>
      </c>
      <c r="C37" s="557">
        <v>13.58</v>
      </c>
      <c r="D37" s="557">
        <v>84.01</v>
      </c>
      <c r="E37" s="500"/>
    </row>
    <row r="38" spans="1:5">
      <c r="A38" s="201">
        <v>43243</v>
      </c>
      <c r="B38">
        <v>23.52</v>
      </c>
      <c r="C38" s="557">
        <v>14.17</v>
      </c>
      <c r="D38" s="557">
        <v>83.8</v>
      </c>
      <c r="E38" s="500"/>
    </row>
    <row r="39" spans="1:5">
      <c r="A39" s="201">
        <v>43250</v>
      </c>
      <c r="B39">
        <v>23.73</v>
      </c>
      <c r="C39" s="557">
        <v>15.33</v>
      </c>
      <c r="D39" s="557">
        <v>83.57</v>
      </c>
      <c r="E39" s="500"/>
    </row>
    <row r="40" spans="1:5">
      <c r="A40" s="201">
        <v>43257</v>
      </c>
      <c r="B40">
        <v>23.89</v>
      </c>
      <c r="C40" s="557">
        <v>15.26</v>
      </c>
      <c r="D40" s="557">
        <v>83.43</v>
      </c>
      <c r="E40" s="500"/>
    </row>
    <row r="41" spans="1:5">
      <c r="A41" s="201">
        <v>43264</v>
      </c>
      <c r="B41">
        <v>24.01</v>
      </c>
      <c r="C41" s="557">
        <v>15.26</v>
      </c>
      <c r="D41" s="557">
        <v>83.27</v>
      </c>
      <c r="E41" s="500"/>
    </row>
    <row r="42" spans="1:5">
      <c r="A42" s="201">
        <v>43271</v>
      </c>
      <c r="B42">
        <v>24.05</v>
      </c>
      <c r="C42" s="557">
        <v>15.29</v>
      </c>
      <c r="D42" s="557">
        <v>83.19</v>
      </c>
      <c r="E42" s="500"/>
    </row>
    <row r="43" spans="1:5">
      <c r="A43" s="201">
        <v>43278</v>
      </c>
      <c r="B43">
        <v>24.06</v>
      </c>
      <c r="C43" s="557">
        <v>15.26</v>
      </c>
      <c r="D43" s="557">
        <v>83.16</v>
      </c>
      <c r="E43" s="500"/>
    </row>
    <row r="44" spans="1:5">
      <c r="A44" s="201">
        <v>43285</v>
      </c>
      <c r="B44">
        <v>23.97</v>
      </c>
      <c r="C44" s="557">
        <v>15.29</v>
      </c>
      <c r="D44" s="557">
        <v>83.05</v>
      </c>
      <c r="E44" s="500"/>
    </row>
    <row r="45" spans="1:5">
      <c r="A45" s="201">
        <v>43292</v>
      </c>
      <c r="B45">
        <v>24.26</v>
      </c>
      <c r="C45" s="557">
        <v>17.239999999999998</v>
      </c>
      <c r="D45" s="557">
        <v>83.32</v>
      </c>
      <c r="E45" s="500"/>
    </row>
    <row r="46" spans="1:5">
      <c r="A46" s="201">
        <v>43299</v>
      </c>
      <c r="B46">
        <v>24.26</v>
      </c>
      <c r="C46" s="557">
        <v>16.88</v>
      </c>
      <c r="D46" s="557">
        <v>83.26</v>
      </c>
      <c r="E46" s="500"/>
    </row>
    <row r="47" spans="1:5">
      <c r="A47" s="201">
        <v>43306</v>
      </c>
      <c r="B47">
        <v>24.59</v>
      </c>
      <c r="C47" s="557">
        <v>17.79</v>
      </c>
      <c r="D47" s="557">
        <v>83.17</v>
      </c>
      <c r="E47" s="500"/>
    </row>
    <row r="48" spans="1:5">
      <c r="A48" s="201">
        <v>43313</v>
      </c>
      <c r="B48">
        <v>24.82</v>
      </c>
      <c r="C48" s="557">
        <v>17.91</v>
      </c>
      <c r="D48" s="557">
        <v>83.09</v>
      </c>
      <c r="E48" s="500"/>
    </row>
    <row r="49" spans="1:5">
      <c r="A49" s="201">
        <v>43320</v>
      </c>
      <c r="B49">
        <v>25.2</v>
      </c>
      <c r="C49" s="557">
        <v>18.63</v>
      </c>
      <c r="D49" s="557">
        <v>82.98</v>
      </c>
      <c r="E49" s="500"/>
    </row>
    <row r="50" spans="1:5">
      <c r="A50" s="201">
        <v>43327</v>
      </c>
      <c r="B50">
        <v>25.5</v>
      </c>
      <c r="C50" s="557">
        <v>18.86</v>
      </c>
      <c r="D50" s="557">
        <v>82.78</v>
      </c>
      <c r="E50" s="500"/>
    </row>
    <row r="51" spans="1:5">
      <c r="A51" s="201">
        <v>43334</v>
      </c>
      <c r="C51" s="557">
        <v>18.71</v>
      </c>
      <c r="D51" s="557">
        <v>82.7</v>
      </c>
      <c r="E51" s="500"/>
    </row>
    <row r="52" spans="1:5">
      <c r="A52" s="201">
        <v>43341</v>
      </c>
      <c r="B52">
        <v>25.66</v>
      </c>
      <c r="C52" s="557">
        <v>18.5</v>
      </c>
      <c r="D52" s="557">
        <v>81.3</v>
      </c>
      <c r="E52" s="500"/>
    </row>
    <row r="53" spans="1:5">
      <c r="A53" s="201">
        <v>43348</v>
      </c>
      <c r="B53">
        <v>25.74</v>
      </c>
      <c r="C53" s="557">
        <v>19.059999999999999</v>
      </c>
      <c r="D53" s="557">
        <v>82.34</v>
      </c>
      <c r="E53" s="500"/>
    </row>
    <row r="54" spans="1:5">
      <c r="A54" s="201">
        <v>43355</v>
      </c>
      <c r="B54">
        <v>25.72</v>
      </c>
      <c r="C54" s="557">
        <v>19.16</v>
      </c>
      <c r="D54" s="557">
        <v>82.05</v>
      </c>
      <c r="E54" s="500"/>
    </row>
    <row r="55" spans="1:5">
      <c r="A55" s="201">
        <v>43362</v>
      </c>
      <c r="B55">
        <v>25.54</v>
      </c>
      <c r="C55" s="557">
        <v>19.38</v>
      </c>
      <c r="D55" s="557">
        <v>81.739999999999995</v>
      </c>
      <c r="E55" s="500"/>
    </row>
    <row r="56" spans="1:5">
      <c r="A56" s="201">
        <v>43369</v>
      </c>
      <c r="C56" s="557">
        <v>19.309999999999999</v>
      </c>
      <c r="D56" s="557">
        <v>81.83</v>
      </c>
      <c r="E56" s="500"/>
    </row>
    <row r="57" spans="1:5">
      <c r="A57" s="201">
        <v>43376</v>
      </c>
      <c r="B57">
        <v>25.3</v>
      </c>
      <c r="E57" s="500"/>
    </row>
    <row r="58" spans="1:5">
      <c r="A58" s="201">
        <v>43383</v>
      </c>
      <c r="B58">
        <v>25.06</v>
      </c>
      <c r="C58" s="557">
        <v>19.170000000000002</v>
      </c>
      <c r="D58" s="557">
        <v>80.650000000000006</v>
      </c>
      <c r="E58" s="500"/>
    </row>
    <row r="59" spans="1:5">
      <c r="A59" s="201">
        <v>43390</v>
      </c>
      <c r="B59">
        <v>24.69</v>
      </c>
      <c r="C59" s="557">
        <v>19.04</v>
      </c>
      <c r="D59" s="557">
        <v>82.54</v>
      </c>
      <c r="E59" s="500"/>
    </row>
    <row r="60" spans="1:5">
      <c r="A60" s="201">
        <v>43397</v>
      </c>
      <c r="B60">
        <v>24.28</v>
      </c>
      <c r="C60" s="557">
        <v>18.63</v>
      </c>
      <c r="D60" s="557">
        <v>83.5</v>
      </c>
      <c r="E60" s="500"/>
    </row>
    <row r="61" spans="1:5">
      <c r="A61" s="201">
        <v>43404</v>
      </c>
      <c r="B61">
        <v>24.07</v>
      </c>
      <c r="C61" s="557">
        <v>18.45</v>
      </c>
      <c r="D61" s="557">
        <v>83.75</v>
      </c>
      <c r="E61" s="500"/>
    </row>
    <row r="62" spans="1:5">
      <c r="A62" s="201">
        <v>43411</v>
      </c>
      <c r="B62">
        <v>23.83</v>
      </c>
      <c r="C62" s="557">
        <v>18.239999999999998</v>
      </c>
      <c r="D62" s="557">
        <v>83.93</v>
      </c>
      <c r="E62" s="500"/>
    </row>
    <row r="63" spans="1:5">
      <c r="A63" s="201">
        <v>43418</v>
      </c>
      <c r="B63">
        <v>23.58</v>
      </c>
      <c r="C63" s="557">
        <v>17.96</v>
      </c>
      <c r="D63" s="557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7">
        <v>17.62</v>
      </c>
      <c r="D64" s="557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7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7">
        <v>18.010000000000002</v>
      </c>
      <c r="D66" s="557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7">
        <v>18.16</v>
      </c>
      <c r="D67" s="557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7">
        <v>17.89</v>
      </c>
      <c r="D68" s="557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7">
        <v>17.59</v>
      </c>
      <c r="D69" s="557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7">
        <v>17.579999999999998</v>
      </c>
      <c r="D70" s="557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7">
        <v>17.010000000000002</v>
      </c>
      <c r="D71" s="557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7">
        <v>16.37</v>
      </c>
      <c r="D72" s="557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7">
        <v>15.39</v>
      </c>
      <c r="D73" s="557">
        <v>84.18</v>
      </c>
      <c r="E73" s="500">
        <f>VLOOKUP(A73,价格!A:G,7,FALSE)</f>
        <v>1970</v>
      </c>
    </row>
    <row r="74" spans="1:5">
      <c r="A74" s="201">
        <v>43495</v>
      </c>
      <c r="C74" s="557">
        <v>15.35</v>
      </c>
      <c r="D74" s="557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7">
        <v>16.27</v>
      </c>
      <c r="D76" s="557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7">
        <v>15.94</v>
      </c>
      <c r="D78" s="557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7">
        <v>17.39</v>
      </c>
      <c r="D79" s="557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7">
        <v>20.14</v>
      </c>
      <c r="D80" s="557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7">
        <v>20.62</v>
      </c>
      <c r="D81" s="557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7">
        <v>20.32</v>
      </c>
      <c r="D82" s="557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7">
        <v>20.399999999999999</v>
      </c>
      <c r="D83" s="557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7">
        <v>20.28</v>
      </c>
      <c r="D84" s="557">
        <v>84.34</v>
      </c>
      <c r="E84" s="534">
        <f>VLOOKUP(A84,价格!A:G,7,FALSE)</f>
        <v>1860</v>
      </c>
    </row>
    <row r="85" spans="1:5">
      <c r="A85" s="201">
        <v>43572</v>
      </c>
      <c r="B85">
        <v>36.69</v>
      </c>
      <c r="C85" s="557">
        <v>19.850000000000001</v>
      </c>
      <c r="D85" s="557">
        <v>84.4</v>
      </c>
      <c r="E85" s="534">
        <f>VLOOKUP(A85,价格!A:G,7,FALSE)</f>
        <v>1890</v>
      </c>
    </row>
    <row r="86" spans="1:5">
      <c r="A86" s="201"/>
      <c r="E86" s="500"/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F44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1820</v>
      </c>
      <c r="C1" s="604">
        <f ca="1">TODAY()</f>
        <v>43580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604">
        <f ca="1">C1</f>
        <v>43580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3" t="s">
        <v>440</v>
      </c>
      <c r="B2" s="543">
        <v>1873</v>
      </c>
      <c r="C2" s="604"/>
      <c r="D2" s="184" t="s">
        <v>365</v>
      </c>
      <c r="E2" s="184"/>
      <c r="F2" s="378"/>
      <c r="G2" s="184"/>
      <c r="H2" s="350"/>
      <c r="I2" s="350"/>
      <c r="J2" s="184"/>
      <c r="L2" s="604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43580</v>
      </c>
      <c r="C3" s="604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04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604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04"/>
      <c r="M4" s="315" t="str">
        <f t="shared" si="2"/>
        <v>较昨日变化</v>
      </c>
      <c r="N4" s="611" t="s">
        <v>441</v>
      </c>
      <c r="O4" s="612"/>
      <c r="P4" s="612"/>
      <c r="Q4" s="612"/>
      <c r="R4" s="613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3" t="s">
        <v>413</v>
      </c>
      <c r="B5" s="544">
        <v>1874</v>
      </c>
      <c r="C5" s="615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06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4.329073972602739</v>
      </c>
      <c r="C6" s="615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1700</v>
      </c>
      <c r="I6" s="298"/>
      <c r="J6" s="298">
        <f>LOOKUP(2,1/(价格!$AK:$AK&lt;&gt;0),价格!$AK:$AK)</f>
        <v>1690</v>
      </c>
      <c r="L6" s="606"/>
      <c r="M6" s="327" t="str">
        <f t="shared" si="3"/>
        <v>锦州港价格</v>
      </c>
      <c r="N6" s="601">
        <f t="shared" si="3"/>
        <v>1820</v>
      </c>
      <c r="O6" s="601"/>
      <c r="P6" s="601"/>
      <c r="Q6" s="601"/>
      <c r="R6" s="601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1" t="s">
        <v>489</v>
      </c>
      <c r="B7" s="524">
        <f ca="1">MIN(B4-B3-5,20)</f>
        <v>5</v>
      </c>
      <c r="C7" s="615"/>
      <c r="D7" s="298" t="s">
        <v>410</v>
      </c>
      <c r="E7" s="298">
        <f>INDEX(价格!$V:$V, COUNTA(价格!$A:$A)+1)-INDEX(价格!$V:$V, COUNTA(价格!$A:$A))</f>
        <v>0</v>
      </c>
      <c r="F7" s="379"/>
      <c r="G7" s="325">
        <f>INDEX(价格!$W:$W, COUNTA(价格!$A:$A)+1)-INDEX(价格!$W:$W, COUNTA(价格!$A:$A))</f>
        <v>0</v>
      </c>
      <c r="H7" s="325">
        <f>INDEX(价格!$AB:$AB, COUNTA(价格!$A:$A)+1)-INDEX(价格!$AB:$AB, COUNTA(价格!$A:$A))</f>
        <v>0</v>
      </c>
      <c r="I7" s="325"/>
      <c r="J7" s="325">
        <f>INDEX(价格!$AK:$AK, COUNTA(价格!$A:$A)+1)-INDEX(价格!$AK:$AK, COUNTA(价格!$A:$A))</f>
        <v>0</v>
      </c>
      <c r="L7" s="606"/>
      <c r="M7" s="329" t="str">
        <f t="shared" si="3"/>
        <v>较昨日变化</v>
      </c>
      <c r="N7" s="602">
        <f t="shared" si="3"/>
        <v>10</v>
      </c>
      <c r="O7" s="602"/>
      <c r="P7" s="602"/>
      <c r="Q7" s="602"/>
      <c r="R7" s="602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1" t="s">
        <v>490</v>
      </c>
      <c r="B8" s="524">
        <f ca="1">MIN(B4-B3,5)</f>
        <v>5</v>
      </c>
      <c r="C8" s="615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07" t="str">
        <f>C31</f>
        <v>期货1905</v>
      </c>
      <c r="M8" s="323" t="str">
        <f>D31</f>
        <v>我司交割成本</v>
      </c>
      <c r="N8" s="435">
        <f ca="1">I31</f>
        <v>1966.4071232876713</v>
      </c>
      <c r="O8" s="352">
        <f ca="1">E31</f>
        <v>1928.7468493150686</v>
      </c>
      <c r="P8" s="352">
        <f ca="1">J31</f>
        <v>2041.6345205479454</v>
      </c>
      <c r="Q8" s="352">
        <f ca="1">G31</f>
        <v>1986.2756164383561</v>
      </c>
      <c r="R8" s="352">
        <f ca="1">H31</f>
        <v>2060.1304109589041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1" t="s">
        <v>491</v>
      </c>
      <c r="B9" s="523">
        <v>27.2</v>
      </c>
      <c r="C9" s="615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1750</v>
      </c>
      <c r="J9" s="298">
        <f>LOOKUP(2,1/(价格!$AT:$AT&lt;&gt;0),价格!$AT:$AT)</f>
        <v>1720</v>
      </c>
      <c r="L9" s="607"/>
      <c r="M9" s="334" t="str">
        <f t="shared" ref="M9:N11" si="4">D32</f>
        <v>期货价格</v>
      </c>
      <c r="N9" s="603">
        <f t="shared" si="4"/>
        <v>1873</v>
      </c>
      <c r="O9" s="603"/>
      <c r="P9" s="603"/>
      <c r="Q9" s="603"/>
      <c r="R9" s="603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492</v>
      </c>
      <c r="B10" s="542">
        <f ca="1">B6+B9+0.2*B7+0.6*B8</f>
        <v>35.529073972602738</v>
      </c>
      <c r="C10" s="615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20</v>
      </c>
      <c r="J10" s="298">
        <f>INDEX(价格!$AT:$AT, COUNTA(价格!$A:$A)+1)-INDEX(价格!$AT:$AT, COUNTA(价格!$A:$A))</f>
        <v>0</v>
      </c>
      <c r="L10" s="607"/>
      <c r="M10" s="333" t="str">
        <f t="shared" si="4"/>
        <v>较昨日变化</v>
      </c>
      <c r="N10" s="602">
        <f t="shared" si="4"/>
        <v>-1</v>
      </c>
      <c r="O10" s="602"/>
      <c r="P10" s="602"/>
      <c r="Q10" s="602"/>
      <c r="R10" s="602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1810</v>
      </c>
      <c r="C11" s="616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07"/>
      <c r="M11" s="335" t="str">
        <f t="shared" si="4"/>
        <v>交割价差</v>
      </c>
      <c r="N11" s="332">
        <f ca="1">I34</f>
        <v>-93.407123287671311</v>
      </c>
      <c r="O11" s="332">
        <f ca="1">E34</f>
        <v>-55.74684931506863</v>
      </c>
      <c r="P11" s="332">
        <f ca="1">J34</f>
        <v>-168.63452054794539</v>
      </c>
      <c r="Q11" s="332">
        <f ca="1">G34</f>
        <v>-113.27561643835611</v>
      </c>
      <c r="R11" s="332">
        <f ca="1">H34</f>
        <v>-187.13041095890412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1914</v>
      </c>
      <c r="C12" s="616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05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08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43580</v>
      </c>
      <c r="C13" s="616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05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1700</v>
      </c>
      <c r="Q13" s="327">
        <f>J6</f>
        <v>1690</v>
      </c>
      <c r="R13" s="609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16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05"/>
      <c r="M14" s="327" t="str">
        <f t="shared" si="6"/>
        <v>较昨日变化</v>
      </c>
      <c r="N14" s="328">
        <f t="shared" si="6"/>
        <v>0</v>
      </c>
      <c r="O14" s="328">
        <f t="shared" si="7"/>
        <v>0</v>
      </c>
      <c r="P14" s="328">
        <f t="shared" si="7"/>
        <v>0</v>
      </c>
      <c r="Q14" s="328">
        <f>J7</f>
        <v>0</v>
      </c>
      <c r="R14" s="609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1914</v>
      </c>
      <c r="C15" s="616"/>
      <c r="D15" s="294" t="s">
        <v>412</v>
      </c>
      <c r="E15" s="597">
        <f>INDEX(价格!$B:$B, COUNTA(价格!$A:$A)+1)</f>
        <v>1820</v>
      </c>
      <c r="F15" s="598"/>
      <c r="G15" s="598"/>
      <c r="H15" s="598"/>
      <c r="I15" s="598"/>
      <c r="J15" s="599"/>
      <c r="L15" s="605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09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63.441008219178087</v>
      </c>
      <c r="C16" s="616"/>
      <c r="D16" s="294" t="s">
        <v>410</v>
      </c>
      <c r="E16" s="597">
        <f>E15-INDEX(价格!$B:$B, COUNTA(价格!$A:$A))</f>
        <v>10</v>
      </c>
      <c r="F16" s="598"/>
      <c r="G16" s="598"/>
      <c r="H16" s="598"/>
      <c r="I16" s="598"/>
      <c r="J16" s="599"/>
      <c r="L16" s="605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1750</v>
      </c>
      <c r="R16" s="609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493</v>
      </c>
      <c r="B17">
        <f ca="1">MIN(B14-B13-5,MAX(20,(B14-B13)/2))</f>
        <v>66.5</v>
      </c>
      <c r="C17" s="600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05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0</v>
      </c>
      <c r="Q17" s="331">
        <f>I10</f>
        <v>20</v>
      </c>
      <c r="R17" s="610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494</v>
      </c>
      <c r="B18" s="302">
        <f ca="1">MIN(B14-B13,5)</f>
        <v>5</v>
      </c>
      <c r="C18" s="600"/>
      <c r="D18" s="298" t="s">
        <v>386</v>
      </c>
      <c r="E18" s="298">
        <f>LOOKUP(2,1/(价格!$AY:$AY&lt;&gt;0),价格!$AY:$AY)</f>
        <v>1870</v>
      </c>
      <c r="F18" s="379"/>
      <c r="G18" s="298">
        <f>LOOKUP(2,1/(价格!$BC:$BC&lt;&gt;0),价格!$BC:$BC)</f>
        <v>1970</v>
      </c>
      <c r="H18" s="298">
        <f>LOOKUP(2,1/(价格!$BA:$BA&lt;&gt;0),价格!$BA:$BA)</f>
        <v>1898</v>
      </c>
      <c r="I18" s="298">
        <f>LOOKUP(2,1/(价格!$BD:$BD&lt;&gt;0),价格!$BD:$BD)</f>
        <v>1970</v>
      </c>
      <c r="J18" s="298">
        <f>LOOKUP(2,1/(价格!$BE:$BE&lt;&gt;0),价格!$BE:$BE)</f>
        <v>1940</v>
      </c>
      <c r="L18" s="600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495</v>
      </c>
      <c r="B19" s="523">
        <v>27.2</v>
      </c>
      <c r="C19" s="600"/>
      <c r="D19" s="298" t="s">
        <v>410</v>
      </c>
      <c r="E19" s="298">
        <f>E18-INDEX(价格!$AY:$AY, COUNTA(价格!$A:$A))</f>
        <v>20</v>
      </c>
      <c r="F19" s="379"/>
      <c r="G19" s="325">
        <f>G18-INDEX(价格!$BC:$BC, COUNTA(价格!$A:$A))</f>
        <v>0</v>
      </c>
      <c r="H19" s="325">
        <f>H18-INDEX(价格!$BA:$BA, COUNTA(价格!$A:$A))</f>
        <v>0</v>
      </c>
      <c r="I19" s="325">
        <f>I18-INDEX(价格!$BD:$BD, COUNTA(价格!$A:$A))</f>
        <v>0</v>
      </c>
      <c r="J19" s="325">
        <f>J18-INDEX(价格!$BE:$BE, COUNTA(价格!$A:$A))</f>
        <v>0</v>
      </c>
      <c r="L19" s="600"/>
      <c r="M19" s="330" t="str">
        <f>D18</f>
        <v>价格</v>
      </c>
      <c r="N19" s="330">
        <f>E18</f>
        <v>1870</v>
      </c>
      <c r="O19" s="330">
        <f t="shared" ref="O19:P20" si="10">G18</f>
        <v>1970</v>
      </c>
      <c r="P19" s="330">
        <f t="shared" si="10"/>
        <v>1898</v>
      </c>
      <c r="Q19" s="330">
        <f>J18</f>
        <v>1940</v>
      </c>
      <c r="R19" s="330">
        <f>I18</f>
        <v>1970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/>
      <c r="B20" s="523">
        <f ca="1">B16+B19+0.2*B17+0.6*B18</f>
        <v>106.94100821917809</v>
      </c>
      <c r="C20" s="614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00"/>
      <c r="M20" s="333" t="str">
        <f>D19</f>
        <v>较昨日变化</v>
      </c>
      <c r="N20" s="331">
        <f>E19</f>
        <v>20</v>
      </c>
      <c r="O20" s="331">
        <f t="shared" si="10"/>
        <v>0</v>
      </c>
      <c r="P20" s="331">
        <f t="shared" si="10"/>
        <v>0</v>
      </c>
      <c r="Q20" s="331">
        <f>J19</f>
        <v>0</v>
      </c>
      <c r="R20" s="331">
        <f>I19</f>
        <v>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14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595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596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14"/>
      <c r="D22" s="184" t="s">
        <v>373</v>
      </c>
      <c r="E22" s="295">
        <f ca="1">E3*0.1*($B$4-$B$3)/365</f>
        <v>4.5205479452054798</v>
      </c>
      <c r="F22" s="295">
        <f t="shared" ref="F22:J22" ca="1" si="12">F3*0.1*($B$4-$B$3)/365</f>
        <v>4.5506849315068498</v>
      </c>
      <c r="G22" s="295">
        <f t="shared" ca="1" si="12"/>
        <v>5.0493150684931507</v>
      </c>
      <c r="H22" s="295">
        <f t="shared" ca="1" si="12"/>
        <v>4.904109589041096</v>
      </c>
      <c r="I22" s="295">
        <f t="shared" ca="1" si="12"/>
        <v>4.7808219178082192</v>
      </c>
      <c r="J22" s="295">
        <f t="shared" ca="1" si="12"/>
        <v>5.0082191780821921</v>
      </c>
      <c r="L22" s="595"/>
      <c r="M22" s="330" t="str">
        <f t="shared" ref="M22:N25" si="13">D36</f>
        <v>散船运费</v>
      </c>
      <c r="N22" s="330">
        <f t="shared" si="13"/>
        <v>43</v>
      </c>
      <c r="O22" s="330">
        <f t="shared" ref="O22:Q25" si="14">G36</f>
        <v>54</v>
      </c>
      <c r="P22" s="330">
        <f t="shared" si="14"/>
        <v>41</v>
      </c>
      <c r="Q22" s="330">
        <f t="shared" si="14"/>
        <v>39</v>
      </c>
      <c r="R22" s="596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14"/>
      <c r="D23" s="184" t="s">
        <v>374</v>
      </c>
      <c r="E23" s="295">
        <f ca="1">$E$32*0.2*0.1*($B$4-$B$3)/365</f>
        <v>1.0263013698630137</v>
      </c>
      <c r="F23" s="295">
        <f ca="1">$E$32*0.2*0.1*($B$4-$B$3)/365</f>
        <v>1.0263013698630137</v>
      </c>
      <c r="G23" s="295">
        <f t="shared" ref="G23:J23" ca="1" si="15">$E$32*0.2*0.1*($B$4-$B$3)/365</f>
        <v>1.0263013698630137</v>
      </c>
      <c r="H23" s="295">
        <f t="shared" ca="1" si="15"/>
        <v>1.0263013698630137</v>
      </c>
      <c r="I23" s="295">
        <f t="shared" ca="1" si="15"/>
        <v>1.0263013698630137</v>
      </c>
      <c r="J23" s="295">
        <f t="shared" ca="1" si="15"/>
        <v>1.0263013698630137</v>
      </c>
      <c r="L23" s="595"/>
      <c r="M23" s="330" t="str">
        <f t="shared" si="13"/>
        <v>价格</v>
      </c>
      <c r="N23" s="330">
        <f t="shared" si="13"/>
        <v>1940</v>
      </c>
      <c r="O23" s="330">
        <f t="shared" si="14"/>
        <v>1940</v>
      </c>
      <c r="P23" s="330">
        <f t="shared" si="14"/>
        <v>1940</v>
      </c>
      <c r="Q23" s="330">
        <f t="shared" si="14"/>
        <v>1940</v>
      </c>
      <c r="R23" s="596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14"/>
      <c r="D24" s="184" t="s">
        <v>375</v>
      </c>
      <c r="E24" s="295">
        <f t="shared" ref="E24:J24" ca="1" si="16">SUM(E20:E23)</f>
        <v>14.546849315068492</v>
      </c>
      <c r="F24" s="295">
        <f t="shared" ca="1" si="16"/>
        <v>14.576986301369864</v>
      </c>
      <c r="G24" s="295">
        <f t="shared" ca="1" si="16"/>
        <v>15.075616438356164</v>
      </c>
      <c r="H24" s="295">
        <f t="shared" ca="1" si="16"/>
        <v>14.930410958904108</v>
      </c>
      <c r="I24" s="295">
        <f t="shared" ca="1" si="16"/>
        <v>14.807123287671232</v>
      </c>
      <c r="J24" s="295">
        <f t="shared" ca="1" si="16"/>
        <v>15.034520547945206</v>
      </c>
      <c r="L24" s="595"/>
      <c r="M24" s="333" t="str">
        <f t="shared" si="13"/>
        <v>较昨日变化</v>
      </c>
      <c r="N24" s="331">
        <f t="shared" si="13"/>
        <v>10</v>
      </c>
      <c r="O24" s="331">
        <f t="shared" si="14"/>
        <v>10</v>
      </c>
      <c r="P24" s="331">
        <f t="shared" si="14"/>
        <v>0</v>
      </c>
      <c r="Q24" s="331">
        <f t="shared" si="14"/>
        <v>10</v>
      </c>
      <c r="R24" s="596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14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595"/>
      <c r="M25" s="330" t="str">
        <f t="shared" si="13"/>
        <v>南北发运利润</v>
      </c>
      <c r="N25" s="258">
        <f t="shared" si="13"/>
        <v>-13</v>
      </c>
      <c r="O25" s="258">
        <f t="shared" si="14"/>
        <v>-24</v>
      </c>
      <c r="P25" s="258">
        <f t="shared" si="14"/>
        <v>-11</v>
      </c>
      <c r="Q25" s="258">
        <f t="shared" si="14"/>
        <v>-9</v>
      </c>
      <c r="R25" s="596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14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594" t="s">
        <v>464</v>
      </c>
      <c r="M26" s="594"/>
      <c r="N26" s="594"/>
      <c r="O26" s="594"/>
      <c r="P26" s="594"/>
      <c r="Q26" s="594"/>
      <c r="R26" s="594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14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594"/>
      <c r="M27" s="594"/>
      <c r="N27" s="594"/>
      <c r="O27" s="594"/>
      <c r="P27" s="594"/>
      <c r="Q27" s="594"/>
      <c r="R27" s="594"/>
    </row>
    <row r="28" spans="1:27" ht="16.5">
      <c r="A28" s="302"/>
      <c r="B28" s="302"/>
      <c r="C28" s="614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594"/>
      <c r="M28" s="594"/>
      <c r="N28" s="594"/>
      <c r="O28" s="594"/>
      <c r="P28" s="594"/>
      <c r="Q28" s="594"/>
      <c r="R28" s="594"/>
    </row>
    <row r="29" spans="1:27" ht="16.5">
      <c r="A29" s="302"/>
      <c r="B29" s="302"/>
      <c r="C29" s="614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594"/>
      <c r="M29" s="594"/>
      <c r="N29" s="594"/>
      <c r="O29" s="594"/>
      <c r="P29" s="594"/>
      <c r="Q29" s="594"/>
      <c r="R29" s="594"/>
    </row>
    <row r="30" spans="1:27" ht="16.5">
      <c r="A30" s="302"/>
      <c r="B30" s="302"/>
      <c r="C30" s="614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594"/>
      <c r="M30" s="594"/>
      <c r="N30" s="594"/>
      <c r="O30" s="594"/>
      <c r="P30" s="594"/>
      <c r="Q30" s="594"/>
      <c r="R30" s="594"/>
    </row>
    <row r="31" spans="1:27" ht="15">
      <c r="A31" s="302"/>
      <c r="B31" s="302"/>
      <c r="C31" s="595" t="str">
        <f>A2</f>
        <v>期货1905</v>
      </c>
      <c r="D31" s="296" t="s">
        <v>402</v>
      </c>
      <c r="E31" s="297">
        <f t="shared" ref="E31:J31" ca="1" si="18">E14+E24+E30</f>
        <v>1928.7468493150686</v>
      </c>
      <c r="F31" s="297">
        <f t="shared" ca="1" si="18"/>
        <v>1935.77698630137</v>
      </c>
      <c r="G31" s="297">
        <f t="shared" ca="1" si="18"/>
        <v>1986.2756164383561</v>
      </c>
      <c r="H31" s="297">
        <f t="shared" ca="1" si="18"/>
        <v>2060.1304109589041</v>
      </c>
      <c r="I31" s="297">
        <f t="shared" ca="1" si="18"/>
        <v>1966.4071232876713</v>
      </c>
      <c r="J31" s="297">
        <f t="shared" ca="1" si="18"/>
        <v>2041.6345205479454</v>
      </c>
    </row>
    <row r="32" spans="1:27" ht="16.5">
      <c r="A32" s="302"/>
      <c r="B32" s="302"/>
      <c r="C32" s="595"/>
      <c r="D32" s="304" t="s">
        <v>360</v>
      </c>
      <c r="E32" s="620">
        <f>$B$2</f>
        <v>1873</v>
      </c>
      <c r="F32" s="621"/>
      <c r="G32" s="621"/>
      <c r="H32" s="621"/>
      <c r="I32" s="621"/>
      <c r="J32" s="622"/>
    </row>
    <row r="33" spans="1:18" s="309" customFormat="1" ht="16.5">
      <c r="A33" s="302"/>
      <c r="B33" s="302"/>
      <c r="C33" s="595"/>
      <c r="D33" s="304" t="s">
        <v>410</v>
      </c>
      <c r="E33" s="620">
        <f>B2-B5</f>
        <v>-1</v>
      </c>
      <c r="F33" s="621"/>
      <c r="G33" s="621"/>
      <c r="H33" s="621"/>
      <c r="I33" s="621"/>
      <c r="J33" s="622"/>
      <c r="L33" s="632">
        <f ca="1">TODAY()</f>
        <v>43580</v>
      </c>
      <c r="M33" s="632"/>
      <c r="N33" s="632"/>
      <c r="O33" s="632"/>
      <c r="P33" s="632"/>
      <c r="Q33" s="632"/>
      <c r="R33" s="632"/>
    </row>
    <row r="34" spans="1:18" ht="21">
      <c r="A34" s="302"/>
      <c r="B34" s="302"/>
      <c r="C34" s="595"/>
      <c r="D34" s="305" t="s">
        <v>403</v>
      </c>
      <c r="E34" s="306">
        <f ca="1">$E$32-E31</f>
        <v>-55.74684931506863</v>
      </c>
      <c r="F34" s="306">
        <f ca="1">$E$32-F31</f>
        <v>-62.776986301370016</v>
      </c>
      <c r="G34" s="306">
        <f t="shared" ref="G34:I34" ca="1" si="19">$E$32-G31</f>
        <v>-113.27561643835611</v>
      </c>
      <c r="H34" s="306">
        <f t="shared" ca="1" si="19"/>
        <v>-187.13041095890412</v>
      </c>
      <c r="I34" s="306">
        <f t="shared" ca="1" si="19"/>
        <v>-93.407123287671311</v>
      </c>
      <c r="J34" s="306">
        <f ca="1">$E$32-J31</f>
        <v>-168.63452054794539</v>
      </c>
      <c r="L34" s="616" t="s">
        <v>465</v>
      </c>
      <c r="M34" s="521" t="s">
        <v>466</v>
      </c>
      <c r="N34" s="618">
        <f>B1</f>
        <v>1820</v>
      </c>
      <c r="O34" s="618"/>
      <c r="P34" s="330" t="s">
        <v>411</v>
      </c>
      <c r="Q34" s="602">
        <f>N34-INDEX(价格!$B:$B, COUNTA(价格!$A:$A))</f>
        <v>10</v>
      </c>
      <c r="R34" s="602"/>
    </row>
    <row r="35" spans="1:18" ht="16.5">
      <c r="A35" s="302"/>
      <c r="B35" s="302"/>
      <c r="C35" s="619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16"/>
      <c r="M35" s="521" t="s">
        <v>467</v>
      </c>
      <c r="N35" s="618">
        <f>B11</f>
        <v>1810</v>
      </c>
      <c r="O35" s="618"/>
      <c r="P35" s="330" t="s">
        <v>411</v>
      </c>
      <c r="Q35" s="602">
        <f>N35-INDEX(价格!$D:$D, COUNTA(价格!$A:$A))</f>
        <v>0</v>
      </c>
      <c r="R35" s="602"/>
    </row>
    <row r="36" spans="1:18" ht="17.25">
      <c r="A36" s="309"/>
      <c r="B36" s="309"/>
      <c r="C36" s="619"/>
      <c r="D36" s="132" t="s">
        <v>174</v>
      </c>
      <c r="E36" s="320">
        <f>LOOKUP(2,1/(价格!$P:$P&lt;&gt;0),价格!$P:$P)</f>
        <v>43</v>
      </c>
      <c r="F36" s="377"/>
      <c r="G36" s="320">
        <f>LOOKUP(2,1/(价格!$Q:$Q&lt;&gt;0),价格!$Q:$Q)</f>
        <v>54</v>
      </c>
      <c r="H36" s="320">
        <f>LOOKUP(2,1/(价格!$R:$R&lt;&gt;0),价格!$R:$R)</f>
        <v>41</v>
      </c>
      <c r="I36" s="320">
        <f>LOOKUP(2,1/(价格!$S:$S&lt;&gt;0),价格!$S:$S)</f>
        <v>39</v>
      </c>
      <c r="J36" s="312"/>
      <c r="L36" s="633" t="s">
        <v>468</v>
      </c>
      <c r="M36" s="528" t="s">
        <v>469</v>
      </c>
      <c r="N36" s="618">
        <f>B2</f>
        <v>1873</v>
      </c>
      <c r="O36" s="618"/>
      <c r="P36" s="528" t="s">
        <v>470</v>
      </c>
      <c r="Q36" s="618">
        <f>B12</f>
        <v>1914</v>
      </c>
      <c r="R36" s="618"/>
    </row>
    <row r="37" spans="1:18" ht="17.25">
      <c r="A37" s="302"/>
      <c r="B37" s="302"/>
      <c r="C37" s="619"/>
      <c r="D37" s="132" t="s">
        <v>386</v>
      </c>
      <c r="E37" s="320">
        <f>LOOKUP(2,1/(价格!$H:$H&lt;&gt;0),价格!$H:$H)</f>
        <v>1940</v>
      </c>
      <c r="F37" s="377"/>
      <c r="G37" s="320">
        <f>LOOKUP(2,1/(价格!$L:$L&lt;&gt;0),价格!$L:$L)</f>
        <v>1940</v>
      </c>
      <c r="H37" s="320">
        <f>LOOKUP(2,1/(价格!$J:$J&lt;&gt;0),价格!$J:$J)</f>
        <v>1940</v>
      </c>
      <c r="I37" s="320">
        <f>LOOKUP(2,1/(价格!$N:$N&lt;&gt;0),价格!$N:$N)</f>
        <v>1940</v>
      </c>
      <c r="J37" s="313"/>
      <c r="L37" s="633"/>
      <c r="M37" s="330" t="s">
        <v>471</v>
      </c>
      <c r="N37" s="602">
        <f>B2-B5</f>
        <v>-1</v>
      </c>
      <c r="O37" s="602"/>
      <c r="P37" s="330" t="s">
        <v>471</v>
      </c>
      <c r="Q37" s="602">
        <f>B12-B15</f>
        <v>0</v>
      </c>
      <c r="R37" s="602"/>
    </row>
    <row r="38" spans="1:18" s="309" customFormat="1" ht="16.5">
      <c r="A38" s="302"/>
      <c r="B38" s="302"/>
      <c r="C38" s="619"/>
      <c r="D38" s="132" t="s">
        <v>410</v>
      </c>
      <c r="E38" s="313">
        <f>E37-INDEX(价格!H:H, COUNTA(价格!$A:$A))</f>
        <v>10</v>
      </c>
      <c r="F38" s="313"/>
      <c r="G38" s="313">
        <f>G37-INDEX(价格!L:L, COUNTA(价格!$A:$A))</f>
        <v>10</v>
      </c>
      <c r="H38" s="313">
        <f>H37-INDEX(价格!J:J, COUNTA(价格!$A:$A))</f>
        <v>0</v>
      </c>
      <c r="I38" s="313">
        <f>I37-INDEX(价格!N:N, COUNTA(价格!$A:$A))</f>
        <v>10</v>
      </c>
      <c r="J38" s="313"/>
      <c r="L38" s="633"/>
      <c r="M38" s="330" t="s">
        <v>472</v>
      </c>
      <c r="N38" s="637">
        <f ca="1">B2-B1-B10</f>
        <v>17.470926027397262</v>
      </c>
      <c r="O38" s="637"/>
      <c r="P38" s="330" t="s">
        <v>472</v>
      </c>
      <c r="Q38" s="617">
        <f ca="1">B12-B1-B20</f>
        <v>-12.941008219178087</v>
      </c>
      <c r="R38" s="617"/>
    </row>
    <row r="39" spans="1:18" ht="17.25">
      <c r="A39" s="302"/>
      <c r="B39" s="302"/>
      <c r="C39" s="619"/>
      <c r="D39" s="132" t="s">
        <v>393</v>
      </c>
      <c r="E39" s="258">
        <f>INDEX(价格!I:I, COUNTA(价格!$A:$A)+1)</f>
        <v>-13</v>
      </c>
      <c r="F39" s="258"/>
      <c r="G39" s="258">
        <f>INDEX(价格!M:M, COUNTA(价格!$A:$A)+1)</f>
        <v>-24</v>
      </c>
      <c r="H39" s="258">
        <f>INDEX(价格!K:K, COUNTA(价格!$A:$A)+1)</f>
        <v>-11</v>
      </c>
      <c r="I39" s="258">
        <f>INDEX(价格!O:O, COUNTA(价格!$A:$A)+1)</f>
        <v>-9</v>
      </c>
      <c r="J39" s="313"/>
      <c r="L39" s="634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08" t="s">
        <v>515</v>
      </c>
    </row>
    <row r="40" spans="1:18" ht="16.5">
      <c r="A40" s="302"/>
      <c r="B40" s="302"/>
      <c r="L40" s="634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1700</v>
      </c>
      <c r="Q40" s="330">
        <f>J6</f>
        <v>1690</v>
      </c>
      <c r="R40" s="609"/>
    </row>
    <row r="41" spans="1:18" ht="16.5">
      <c r="A41" s="309"/>
      <c r="B41" s="309"/>
      <c r="L41" s="634"/>
      <c r="M41" s="330" t="s">
        <v>410</v>
      </c>
      <c r="N41" s="328">
        <f>E7</f>
        <v>0</v>
      </c>
      <c r="O41" s="522">
        <f t="shared" si="20"/>
        <v>0</v>
      </c>
      <c r="P41" s="522">
        <f t="shared" si="20"/>
        <v>0</v>
      </c>
      <c r="Q41" s="522">
        <f>J7</f>
        <v>0</v>
      </c>
      <c r="R41" s="609"/>
    </row>
    <row r="42" spans="1:18" ht="16.5">
      <c r="L42" s="634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09"/>
    </row>
    <row r="43" spans="1:18" ht="16.5">
      <c r="L43" s="634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1750</v>
      </c>
      <c r="R43" s="609"/>
    </row>
    <row r="44" spans="1:18" ht="16.5">
      <c r="L44" s="634"/>
      <c r="M44" s="330" t="s">
        <v>410</v>
      </c>
      <c r="N44" s="522">
        <f t="shared" si="21"/>
        <v>0</v>
      </c>
      <c r="O44" s="522">
        <f t="shared" si="21"/>
        <v>0</v>
      </c>
      <c r="P44" s="522">
        <f>J10</f>
        <v>0</v>
      </c>
      <c r="Q44" s="522">
        <f>I10</f>
        <v>20</v>
      </c>
      <c r="R44" s="610"/>
    </row>
    <row r="45" spans="1:18" ht="16.5">
      <c r="L45" s="634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34"/>
      <c r="M46" s="330" t="s">
        <v>483</v>
      </c>
      <c r="N46" s="330">
        <f t="shared" ref="N46:N47" si="22">E18</f>
        <v>1870</v>
      </c>
      <c r="O46" s="330">
        <f t="shared" ref="O46:P46" si="23">G18</f>
        <v>1970</v>
      </c>
      <c r="P46" s="330">
        <f t="shared" si="23"/>
        <v>1898</v>
      </c>
      <c r="Q46" s="330">
        <f t="shared" ref="Q46:Q47" si="24">J18</f>
        <v>1940</v>
      </c>
      <c r="R46" s="330">
        <f t="shared" ref="R46:R47" si="25">I18</f>
        <v>1970</v>
      </c>
    </row>
    <row r="47" spans="1:18" ht="16.5">
      <c r="L47" s="634"/>
      <c r="M47" s="330" t="s">
        <v>410</v>
      </c>
      <c r="N47" s="522">
        <f t="shared" si="22"/>
        <v>20</v>
      </c>
      <c r="O47" s="522">
        <f t="shared" ref="O47:P47" si="26">G19</f>
        <v>0</v>
      </c>
      <c r="P47" s="522">
        <f t="shared" si="26"/>
        <v>0</v>
      </c>
      <c r="Q47" s="522">
        <f t="shared" si="24"/>
        <v>0</v>
      </c>
      <c r="R47" s="522">
        <f t="shared" si="25"/>
        <v>0</v>
      </c>
    </row>
    <row r="48" spans="1:18" ht="16.5">
      <c r="L48" s="635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36" t="s">
        <v>488</v>
      </c>
    </row>
    <row r="49" spans="12:18" ht="16.5">
      <c r="L49" s="635"/>
      <c r="M49" s="330" t="s">
        <v>486</v>
      </c>
      <c r="N49" s="330">
        <f t="shared" ref="N49:N52" si="28">E36</f>
        <v>43</v>
      </c>
      <c r="O49" s="330">
        <f t="shared" si="27"/>
        <v>54</v>
      </c>
      <c r="P49" s="330">
        <f t="shared" si="27"/>
        <v>41</v>
      </c>
      <c r="Q49" s="330">
        <f t="shared" si="27"/>
        <v>39</v>
      </c>
      <c r="R49" s="636"/>
    </row>
    <row r="50" spans="12:18" ht="16.5">
      <c r="L50" s="635"/>
      <c r="M50" s="330" t="s">
        <v>483</v>
      </c>
      <c r="N50" s="330">
        <f t="shared" si="28"/>
        <v>1940</v>
      </c>
      <c r="O50" s="330">
        <f t="shared" si="27"/>
        <v>1940</v>
      </c>
      <c r="P50" s="330">
        <f t="shared" si="27"/>
        <v>1940</v>
      </c>
      <c r="Q50" s="330">
        <f t="shared" si="27"/>
        <v>1940</v>
      </c>
      <c r="R50" s="636"/>
    </row>
    <row r="51" spans="12:18" ht="16.5">
      <c r="L51" s="635"/>
      <c r="M51" s="330" t="s">
        <v>410</v>
      </c>
      <c r="N51" s="522">
        <f t="shared" si="28"/>
        <v>10</v>
      </c>
      <c r="O51" s="522">
        <f t="shared" si="27"/>
        <v>10</v>
      </c>
      <c r="P51" s="522">
        <f t="shared" si="27"/>
        <v>0</v>
      </c>
      <c r="Q51" s="522">
        <f t="shared" si="27"/>
        <v>10</v>
      </c>
      <c r="R51" s="636"/>
    </row>
    <row r="52" spans="12:18" ht="16.5">
      <c r="L52" s="635"/>
      <c r="M52" s="330" t="s">
        <v>487</v>
      </c>
      <c r="N52" s="330">
        <f t="shared" si="28"/>
        <v>-13</v>
      </c>
      <c r="O52" s="330">
        <f t="shared" si="27"/>
        <v>-24</v>
      </c>
      <c r="P52" s="330">
        <f t="shared" si="27"/>
        <v>-11</v>
      </c>
      <c r="Q52" s="330">
        <f t="shared" si="27"/>
        <v>-9</v>
      </c>
      <c r="R52" s="636"/>
    </row>
    <row r="53" spans="12:18">
      <c r="L53" s="623" t="s">
        <v>516</v>
      </c>
      <c r="M53" s="624"/>
      <c r="N53" s="624"/>
      <c r="O53" s="624"/>
      <c r="P53" s="624"/>
      <c r="Q53" s="624"/>
      <c r="R53" s="625"/>
    </row>
    <row r="54" spans="12:18">
      <c r="L54" s="626"/>
      <c r="M54" s="627"/>
      <c r="N54" s="627"/>
      <c r="O54" s="627"/>
      <c r="P54" s="627"/>
      <c r="Q54" s="627"/>
      <c r="R54" s="628"/>
    </row>
    <row r="55" spans="12:18" ht="44.25" customHeight="1">
      <c r="L55" s="629"/>
      <c r="M55" s="630"/>
      <c r="N55" s="630"/>
      <c r="O55" s="630"/>
      <c r="P55" s="630"/>
      <c r="Q55" s="630"/>
      <c r="R55" s="631"/>
    </row>
  </sheetData>
  <mergeCells count="45"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  <mergeCell ref="Q38:R38"/>
    <mergeCell ref="N35:O35"/>
    <mergeCell ref="Q35:R35"/>
    <mergeCell ref="C31:C34"/>
    <mergeCell ref="C35:C39"/>
    <mergeCell ref="E32:J32"/>
    <mergeCell ref="E33:J33"/>
    <mergeCell ref="C20:C24"/>
    <mergeCell ref="C25:C30"/>
    <mergeCell ref="C1:C4"/>
    <mergeCell ref="C5:C10"/>
    <mergeCell ref="C11:C16"/>
    <mergeCell ref="C17:C19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L26:R30"/>
    <mergeCell ref="L21:L25"/>
    <mergeCell ref="R21:R25"/>
    <mergeCell ref="E15:J15"/>
    <mergeCell ref="E16:J16"/>
    <mergeCell ref="L18:L2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38" t="s">
        <v>194</v>
      </c>
      <c r="C1" s="638"/>
      <c r="D1" s="638"/>
      <c r="E1" s="638"/>
      <c r="F1" s="638"/>
      <c r="G1" s="638"/>
      <c r="H1" s="638"/>
      <c r="I1" s="639" t="s">
        <v>188</v>
      </c>
      <c r="J1" s="639"/>
      <c r="K1" s="639"/>
      <c r="L1" s="639"/>
      <c r="M1" s="639"/>
      <c r="N1" s="639"/>
      <c r="O1" s="639"/>
      <c r="P1" s="639"/>
      <c r="Q1" s="638" t="s">
        <v>189</v>
      </c>
      <c r="R1" s="638"/>
      <c r="S1" s="638"/>
      <c r="T1" s="638"/>
      <c r="U1" s="638"/>
      <c r="V1" s="638"/>
      <c r="W1" s="638"/>
      <c r="X1" s="638"/>
      <c r="Y1" s="640" t="s">
        <v>190</v>
      </c>
      <c r="Z1" s="641"/>
      <c r="AA1" s="641"/>
      <c r="AB1" s="641"/>
      <c r="AC1" s="641"/>
      <c r="AD1" s="641"/>
      <c r="AE1" s="641"/>
      <c r="AF1" s="641"/>
      <c r="AG1" s="638" t="s">
        <v>196</v>
      </c>
      <c r="AH1" s="638"/>
      <c r="AI1" s="638"/>
      <c r="AJ1" s="638"/>
      <c r="AK1" s="638"/>
      <c r="AL1" s="638"/>
      <c r="AM1" s="638"/>
      <c r="AN1" s="638"/>
      <c r="AO1" s="638" t="s">
        <v>191</v>
      </c>
      <c r="AP1" s="638"/>
      <c r="AQ1" s="638"/>
      <c r="AR1" s="638"/>
      <c r="AS1" s="638"/>
      <c r="AT1" s="638"/>
      <c r="AU1" s="638"/>
      <c r="AV1" s="638"/>
      <c r="AW1" s="638" t="s">
        <v>192</v>
      </c>
      <c r="AX1" s="638"/>
      <c r="AY1" s="638"/>
      <c r="AZ1" s="638"/>
      <c r="BA1" s="638"/>
      <c r="BB1" s="638"/>
      <c r="BC1" s="638"/>
      <c r="BD1" s="638"/>
      <c r="BE1" s="638" t="s">
        <v>193</v>
      </c>
      <c r="BF1" s="638"/>
      <c r="BG1" s="638"/>
      <c r="BH1" s="638"/>
      <c r="BI1" s="638"/>
      <c r="BJ1" s="638"/>
      <c r="BK1" s="638"/>
      <c r="BL1" s="638"/>
      <c r="BM1" s="638" t="s">
        <v>197</v>
      </c>
      <c r="BN1" s="638"/>
      <c r="BO1" s="638"/>
      <c r="BP1" s="638"/>
      <c r="BQ1" s="638"/>
      <c r="BR1" s="638"/>
      <c r="BS1" s="638"/>
      <c r="BT1" s="638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AB100" activePane="bottomRight" state="frozen"/>
      <selection pane="topRight" activeCell="B1" sqref="B1"/>
      <selection pane="bottomLeft" activeCell="A3" sqref="A3"/>
      <selection pane="bottomRight" activeCell="A116" sqref="A116:E116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54"/>
      <c r="B1" s="661" t="s">
        <v>5</v>
      </c>
      <c r="C1" s="662"/>
      <c r="D1" s="662"/>
      <c r="E1" s="662"/>
      <c r="F1" s="663"/>
      <c r="G1" s="655" t="s">
        <v>6</v>
      </c>
      <c r="H1" s="656"/>
      <c r="I1" s="656"/>
      <c r="J1" s="657"/>
      <c r="K1" s="658" t="s">
        <v>7</v>
      </c>
      <c r="L1" s="659"/>
      <c r="M1" s="659"/>
      <c r="N1" s="660"/>
      <c r="O1" s="648" t="s">
        <v>8</v>
      </c>
      <c r="P1" s="649"/>
      <c r="Q1" s="649"/>
      <c r="R1" s="650"/>
      <c r="S1" s="651" t="s">
        <v>9</v>
      </c>
      <c r="T1" s="652"/>
      <c r="U1" s="652"/>
      <c r="V1" s="652"/>
      <c r="W1" s="653"/>
      <c r="X1" s="664" t="s">
        <v>48</v>
      </c>
      <c r="Y1" s="665"/>
      <c r="Z1" s="665"/>
      <c r="AA1" s="665"/>
      <c r="AB1" s="665"/>
      <c r="AC1" s="666"/>
      <c r="AD1" s="667" t="s">
        <v>52</v>
      </c>
      <c r="AE1" s="668"/>
      <c r="AF1" s="668"/>
      <c r="AJ1" s="642" t="s">
        <v>50</v>
      </c>
      <c r="AK1" s="643"/>
      <c r="AL1" s="643"/>
      <c r="AM1" s="644"/>
      <c r="AN1" s="645" t="s">
        <v>51</v>
      </c>
      <c r="AO1" s="646"/>
      <c r="AP1" s="646"/>
      <c r="AQ1" s="647"/>
    </row>
    <row r="2" spans="1:43">
      <c r="A2" s="654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4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1">
        <f t="shared" ref="T116" si="462">C116+H116+L116+P116</f>
        <v>0</v>
      </c>
      <c r="U116" s="561">
        <f t="shared" ref="U116" si="463">D116+I116+M116+Q116</f>
        <v>0</v>
      </c>
      <c r="V116" s="561">
        <f t="shared" ref="V116" si="464">E116+J116+N116+R116</f>
        <v>0</v>
      </c>
      <c r="W116" s="73">
        <f t="shared" ref="W116" si="465">V116-V115</f>
        <v>-482.20000000000016</v>
      </c>
      <c r="X116" s="562">
        <f>AA115</f>
        <v>98.399999999999977</v>
      </c>
      <c r="Y116" s="563">
        <v>11.2</v>
      </c>
      <c r="Z116" s="563">
        <v>16.600000000000001</v>
      </c>
      <c r="AA116" s="563">
        <f t="shared" ref="AA116" si="466">X116+Y116-Z116</f>
        <v>92.999999999999972</v>
      </c>
      <c r="AB116" s="78">
        <f t="shared" ref="AB116" si="467">AA116-AA115</f>
        <v>-5.4000000000000057</v>
      </c>
      <c r="AC116" s="564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9">
        <f t="shared" ref="AJ116" si="468">AM115</f>
        <v>18.899999999999984</v>
      </c>
      <c r="AK116" s="560"/>
      <c r="AL116" s="560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H97" sqref="H97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69" t="s">
        <v>30</v>
      </c>
      <c r="C1" s="670"/>
      <c r="D1" s="670"/>
      <c r="E1" s="671"/>
      <c r="F1" s="642" t="s">
        <v>26</v>
      </c>
      <c r="G1" s="643"/>
      <c r="H1" s="643"/>
      <c r="I1" s="643"/>
      <c r="J1" s="644"/>
      <c r="K1" s="672" t="s">
        <v>358</v>
      </c>
      <c r="L1" s="673"/>
      <c r="M1" s="674"/>
      <c r="N1" s="675" t="s">
        <v>27</v>
      </c>
      <c r="O1" s="676"/>
      <c r="P1" s="676"/>
      <c r="Q1" s="677"/>
      <c r="R1" s="640" t="s">
        <v>31</v>
      </c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1"/>
      <c r="AH1" s="641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2019-04-25T07:44:15Z</dcterms:modified>
</cp:coreProperties>
</file>