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5"/>
  </bookViews>
  <sheets>
    <sheet name="价格" sheetId="6" r:id="rId1"/>
    <sheet name="summarize" sheetId="9" r:id="rId2"/>
    <sheet name="Sheet1" sheetId="15" state="hidden" r:id="rId3"/>
    <sheet name="生猪存栏" sheetId="21" r:id="rId4"/>
    <sheet name="PigPrice" sheetId="22" r:id="rId5"/>
    <sheet name="summarize2" sheetId="16" r:id="rId6"/>
    <sheet name="salerate" sheetId="12" r:id="rId7"/>
    <sheet name="NSPort" sheetId="3" r:id="rId8"/>
    <sheet name="DeepProcessing" sheetId="4" r:id="rId9"/>
    <sheet name="饲料厂库存" sheetId="10" r:id="rId10"/>
    <sheet name="玉米进出口" sheetId="24" r:id="rId11"/>
    <sheet name="平衡表" sheetId="7" r:id="rId12"/>
    <sheet name="种植成本" sheetId="8" r:id="rId13"/>
    <sheet name="备忘录" sheetId="13" r:id="rId14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E75" i="22" l="1"/>
  <c r="S116" i="3" l="1"/>
  <c r="T116" i="3"/>
  <c r="U116" i="3"/>
  <c r="V116" i="3"/>
  <c r="W116" i="3"/>
  <c r="AJ116" i="3"/>
  <c r="AM116" i="3" s="1"/>
  <c r="AF116" i="3"/>
  <c r="AE116" i="3"/>
  <c r="AE115" i="3"/>
  <c r="AC115" i="3"/>
  <c r="AC116" i="3"/>
  <c r="F115" i="3"/>
  <c r="F116" i="3"/>
  <c r="X116" i="3"/>
  <c r="AA116" i="3" s="1"/>
  <c r="AB116" i="3" s="1"/>
  <c r="AQ116" i="3"/>
  <c r="AN116" i="3"/>
  <c r="I1653" i="6"/>
  <c r="K1653" i="6"/>
  <c r="M1653" i="6"/>
  <c r="O1653" i="6"/>
  <c r="W9" i="9" l="1"/>
  <c r="W8" i="9"/>
  <c r="W7" i="9"/>
  <c r="R2" i="9"/>
  <c r="V11" i="9"/>
  <c r="V12" i="9"/>
  <c r="V10" i="9"/>
  <c r="U10" i="9"/>
  <c r="Y6" i="9"/>
  <c r="Y7" i="9"/>
  <c r="Y8" i="9"/>
  <c r="Y3" i="9"/>
  <c r="Y4" i="9"/>
  <c r="Y5" i="9"/>
  <c r="Y2" i="9"/>
  <c r="X2" i="9"/>
  <c r="Y10" i="9"/>
  <c r="Y11" i="9"/>
  <c r="Y12" i="9"/>
  <c r="Y9" i="9"/>
  <c r="X9" i="9"/>
  <c r="V3" i="9"/>
  <c r="V4" i="9"/>
  <c r="V5" i="9"/>
  <c r="V6" i="9"/>
  <c r="V2" i="9"/>
  <c r="V1" i="9"/>
  <c r="U2" i="9"/>
  <c r="I1652" i="6" l="1"/>
  <c r="K1652" i="6"/>
  <c r="M1652" i="6"/>
  <c r="O1652" i="6"/>
  <c r="I1651" i="6" l="1"/>
  <c r="K1651" i="6"/>
  <c r="M1651" i="6"/>
  <c r="O1651" i="6"/>
  <c r="I1650" i="6" l="1"/>
  <c r="K1650" i="6"/>
  <c r="M1650" i="6"/>
  <c r="O1650" i="6"/>
  <c r="G24" i="9" l="1"/>
  <c r="G22" i="9"/>
  <c r="I1649" i="6" l="1"/>
  <c r="K1649" i="6"/>
  <c r="M1649" i="6"/>
  <c r="O1649" i="6"/>
  <c r="AJ115" i="3" l="1"/>
  <c r="AM115" i="3" s="1"/>
  <c r="O115" i="3" l="1"/>
  <c r="R115" i="3" s="1"/>
  <c r="K115" i="3"/>
  <c r="N115" i="3"/>
  <c r="G115" i="3"/>
  <c r="J115" i="3" s="1"/>
  <c r="B115" i="3"/>
  <c r="E115" i="3"/>
  <c r="E83" i="22" l="1"/>
  <c r="E84" i="22"/>
  <c r="E85" i="22"/>
  <c r="I1648" i="6"/>
  <c r="K1648" i="6"/>
  <c r="M1648" i="6"/>
  <c r="O1648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1647" i="6"/>
  <c r="K1647" i="6"/>
  <c r="M1647" i="6"/>
  <c r="O1647" i="6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2" i="16"/>
  <c r="N42" i="16"/>
  <c r="Q39" i="16"/>
  <c r="P39" i="16"/>
  <c r="O39" i="16"/>
  <c r="N39" i="16"/>
  <c r="Q36" i="16"/>
  <c r="N37" i="16"/>
  <c r="N36" i="16"/>
  <c r="B11" i="16"/>
  <c r="N35" i="16" s="1"/>
  <c r="Q35" i="16" s="1"/>
  <c r="B13" i="16" l="1"/>
  <c r="B17" i="16" s="1"/>
  <c r="L33" i="16"/>
  <c r="I1646" i="6"/>
  <c r="K1646" i="6"/>
  <c r="M1646" i="6"/>
  <c r="O1646" i="6"/>
  <c r="B18" i="16" l="1"/>
  <c r="B16" i="16"/>
  <c r="I1645" i="6"/>
  <c r="K1645" i="6"/>
  <c r="M1645" i="6"/>
  <c r="O1645" i="6"/>
  <c r="B20" i="16" l="1"/>
  <c r="I1644" i="6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E63" i="22" l="1"/>
  <c r="E64" i="22"/>
  <c r="E65" i="22"/>
  <c r="E66" i="22"/>
  <c r="E67" i="22"/>
  <c r="E68" i="22"/>
  <c r="E69" i="22"/>
  <c r="E70" i="22"/>
  <c r="E71" i="22"/>
  <c r="E72" i="22"/>
  <c r="E73" i="22"/>
  <c r="E74" i="22"/>
  <c r="E76" i="22"/>
  <c r="E77" i="22"/>
  <c r="E78" i="22"/>
  <c r="E79" i="22"/>
  <c r="E80" i="22"/>
  <c r="E81" i="22"/>
  <c r="E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3" i="16" l="1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Q38" i="16" s="1"/>
  <c r="N34" i="16" l="1"/>
  <c r="Q34" i="16" s="1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O43" i="16" s="1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P5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B6" i="16" l="1"/>
  <c r="B7" i="16"/>
  <c r="Q16" i="16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B10" i="16" l="1"/>
  <c r="N38" i="16" s="1"/>
  <c r="N20" i="16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3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Z8" i="9" s="1"/>
  <c r="S19" i="9"/>
  <c r="R19" i="9"/>
  <c r="Z7" i="9" s="1"/>
  <c r="S18" i="9"/>
  <c r="R18" i="9"/>
  <c r="Z6" i="9" s="1"/>
  <c r="S17" i="9"/>
  <c r="R17" i="9"/>
  <c r="Z5" i="9" s="1"/>
  <c r="S16" i="9"/>
  <c r="R16" i="9"/>
  <c r="Z4" i="9" s="1"/>
  <c r="S15" i="9"/>
  <c r="R15" i="9"/>
  <c r="Z3" i="9" s="1"/>
  <c r="S14" i="9"/>
  <c r="R14" i="9"/>
  <c r="Z2" i="9" s="1"/>
  <c r="S13" i="9" l="1"/>
  <c r="R13" i="9"/>
  <c r="Z12" i="9" s="1"/>
  <c r="S12" i="9"/>
  <c r="R12" i="9"/>
  <c r="Z11" i="9" s="1"/>
  <c r="S11" i="9"/>
  <c r="R11" i="9"/>
  <c r="Z10" i="9" s="1"/>
  <c r="S10" i="9"/>
  <c r="R10" i="9"/>
  <c r="Z9" i="9" s="1"/>
  <c r="S9" i="9"/>
  <c r="R9" i="9"/>
  <c r="W12" i="9" s="1"/>
  <c r="S8" i="9"/>
  <c r="R8" i="9"/>
  <c r="W11" i="9" s="1"/>
  <c r="S7" i="9"/>
  <c r="R7" i="9"/>
  <c r="W10" i="9" s="1"/>
  <c r="S6" i="9"/>
  <c r="R6" i="9"/>
  <c r="W6" i="9" s="1"/>
  <c r="S5" i="9"/>
  <c r="R5" i="9"/>
  <c r="W5" i="9" s="1"/>
  <c r="S4" i="9"/>
  <c r="R4" i="9"/>
  <c r="W4" i="9" s="1"/>
  <c r="S3" i="9"/>
  <c r="R3" i="9"/>
  <c r="W3" i="9" s="1"/>
  <c r="S2" i="9"/>
  <c r="W2" i="9"/>
  <c r="S1" i="9"/>
  <c r="R1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<sst xmlns="http://schemas.openxmlformats.org/spreadsheetml/2006/main" count="740" uniqueCount="517">
  <si>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</si>
  <si>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</si>
  <si>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</si>
  <si>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</si>
  <si>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</si>
  <si>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</si>
  <si>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</si>
  <si>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</si>
  <si>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</si>
  <si>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</si>
  <si>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</si>
  <si>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</si>
  <si>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</si>
  <si>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</si>
  <si>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</si>
  <si>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</si>
  <si>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</si>
  <si>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</si>
  <si>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</si>
  <si>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</si>
  <si>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</si>
  <si>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</si>
  <si>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</si>
  <si>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</si>
  <si>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</si>
  <si>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</si>
  <si>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</si>
  <si>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</si>
  <si>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</si>
  <si>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</si>
  <si>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</si>
  <si>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</si>
  <si>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</si>
  <si>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</si>
  <si>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</si>
  <si>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</si>
  <si>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</si>
  <si>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</si>
  <si>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</si>
  <si>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</si>
  <si>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</si>
  <si>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</si>
  <si>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</si>
  <si>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</si>
  <si>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</si>
  <si>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</si>
  <si>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</si>
  <si>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</si>
  <si>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</si>
  <si>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</si>
  <si>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</si>
  <si>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</si>
  <si>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</si>
  <si>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</si>
  <si>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</si>
  <si>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</si>
  <si>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</si>
  <si>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</si>
  <si>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</si>
  <si>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</si>
  <si>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</si>
  <si>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</si>
  <si>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</si>
  <si>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</si>
  <si>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</si>
  <si>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</si>
  <si>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</si>
  <si>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</si>
  <si>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</si>
  <si>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</si>
  <si>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</si>
  <si>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</si>
  <si>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</si>
  <si>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</si>
  <si>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</si>
  <si>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</si>
  <si>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</si>
  <si>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</si>
  <si>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</si>
  <si>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</si>
  <si>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</si>
  <si>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</si>
  <si>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</si>
  <si>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</si>
  <si>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</si>
  <si>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</si>
  <si>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</si>
  <si>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</si>
  <si>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</si>
  <si>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</si>
  <si>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</si>
  <si>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</si>
  <si>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</si>
  <si>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</si>
  <si>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</si>
  <si>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</si>
  <si>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</si>
  <si>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</si>
  <si>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</si>
  <si>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</si>
  <si>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</si>
  <si>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</si>
  <si>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</si>
  <si>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</si>
  <si>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</si>
  <si>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</si>
  <si>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</si>
  <si>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</si>
  <si>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</si>
  <si>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</si>
  <si>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</si>
  <si>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</si>
  <si>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</si>
  <si>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</si>
  <si>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</si>
  <si>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</si>
  <si>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</si>
  <si>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</si>
  <si>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</si>
  <si>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</si>
  <si>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</si>
  <si>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</si>
  <si>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</si>
  <si>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</si>
  <si>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</si>
  <si>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</si>
  <si>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</si>
  <si>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</si>
  <si>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</si>
  <si>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</si>
  <si>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企业</t>
    <phoneticPr fontId="1" type="noConversion"/>
  </si>
  <si>
    <t>西安国维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</si>
  <si>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</si>
  <si>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</si>
  <si>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</si>
  <si>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</si>
  <si>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</si>
  <si>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</si>
  <si>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</si>
  <si>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</si>
  <si>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</si>
  <si>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</si>
  <si>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</si>
  <si>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</si>
  <si>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</si>
  <si>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</si>
  <si>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</si>
  <si>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</si>
  <si>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</si>
  <si>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</si>
  <si>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</si>
  <si>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</si>
  <si>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</si>
  <si>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</si>
  <si>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</si>
  <si>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</si>
  <si>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</si>
  <si>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</si>
  <si>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</si>
  <si>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</si>
  <si>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</si>
  <si>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</si>
  <si>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</si>
  <si>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</si>
  <si>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</si>
  <si>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</si>
  <si>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</si>
  <si>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</si>
  <si>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</si>
  <si>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</si>
  <si>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</si>
  <si>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</si>
  <si>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</si>
  <si>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</si>
  <si>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</si>
  <si>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</si>
  <si>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</si>
  <si>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</si>
  <si>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</si>
  <si>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</si>
  <si>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</si>
  <si>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</si>
  <si>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</si>
  <si>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</si>
  <si>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</si>
  <si>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</si>
  <si>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</si>
  <si>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</si>
  <si>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</si>
  <si>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</si>
  <si>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</si>
  <si>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</si>
  <si>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</si>
  <si>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</si>
  <si>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</si>
  <si>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</si>
  <si>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</si>
  <si>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</si>
  <si>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</si>
  <si>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</si>
  <si>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</si>
  <si>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</si>
  <si>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</si>
  <si>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</si>
  <si>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</si>
  <si>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</si>
  <si>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</si>
  <si>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</si>
  <si>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</si>
  <si>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</si>
  <si>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</si>
  <si>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</si>
  <si>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</si>
  <si>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</si>
  <si>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</si>
  <si>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</si>
  <si>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</si>
  <si>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</si>
  <si>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</si>
  <si>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</si>
  <si>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</si>
  <si>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</si>
  <si>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</si>
  <si>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</si>
  <si>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</si>
  <si>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</si>
  <si>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</si>
  <si>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</si>
  <si>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</si>
  <si>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</si>
  <si>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</si>
  <si>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</si>
  <si>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</si>
  <si>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</si>
  <si>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</si>
  <si>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</si>
  <si>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</si>
  <si>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</si>
  <si>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</si>
  <si>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</si>
  <si>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</si>
  <si>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</si>
  <si>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</si>
  <si>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</si>
  <si>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</si>
  <si>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</si>
  <si>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</si>
  <si>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</si>
  <si>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</si>
  <si>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</si>
  <si>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</si>
  <si>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</si>
  <si>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</si>
  <si>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</si>
  <si>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</si>
  <si>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</si>
  <si>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</si>
  <si>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</si>
  <si>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</si>
  <si>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</si>
  <si>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</si>
  <si>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</si>
  <si>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</si>
  <si>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</si>
  <si>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</si>
  <si>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</si>
  <si>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</si>
  <si>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</si>
  <si>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</si>
  <si>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</si>
  <si>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</si>
  <si>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</si>
  <si>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</si>
  <si>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</si>
  <si>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</si>
  <si>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</si>
  <si>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</si>
  <si>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</si>
  <si>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</si>
  <si>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</si>
  <si>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</si>
  <si>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</si>
  <si>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</si>
  <si>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</si>
  <si>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</si>
  <si>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</si>
  <si>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</si>
  <si>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</si>
  <si>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</si>
  <si>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</si>
  <si>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</si>
  <si>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</si>
  <si>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</si>
  <si>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</si>
  <si>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</si>
  <si>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</si>
  <si>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</si>
  <si>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</si>
  <si>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</si>
  <si>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</si>
  <si>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</si>
  <si>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</si>
  <si>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</si>
  <si>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</si>
  <si>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</si>
  <si>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</si>
  <si>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</si>
  <si>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</si>
  <si>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</si>
  <si>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</si>
  <si>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</si>
  <si>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</si>
  <si>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</si>
  <si>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</si>
  <si>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</si>
  <si>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</si>
  <si>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</si>
  <si>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</si>
  <si>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广东新粮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</si>
  <si>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</si>
  <si>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</si>
  <si>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</si>
  <si>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</si>
  <si>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</si>
  <si>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</si>
  <si>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</si>
  <si>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</si>
  <si>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</si>
  <si>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</si>
  <si>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</si>
  <si>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</si>
  <si>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</si>
  <si>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</si>
  <si>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</si>
  <si>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</si>
  <si>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</si>
  <si>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</si>
  <si>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</si>
  <si>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</si>
  <si>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</si>
  <si>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</si>
  <si>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</si>
  <si>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</si>
  <si>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</si>
  <si>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</si>
  <si>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</si>
  <si>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</si>
  <si>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</si>
  <si>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</si>
  <si>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</si>
  <si>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</si>
  <si>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</si>
  <si>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</si>
  <si>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</si>
  <si>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</si>
  <si>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</si>
  <si>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</si>
  <si>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</si>
  <si>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</si>
  <si>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</si>
  <si>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</si>
  <si>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</si>
  <si>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</si>
  <si>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</si>
  <si>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</si>
  <si>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</si>
  <si>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</si>
  <si>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</si>
  <si>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</si>
  <si>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</si>
  <si>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</si>
  <si>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</si>
  <si>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</si>
  <si>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</si>
  <si>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</si>
  <si>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</si>
  <si>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</si>
  <si>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</si>
  <si>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</si>
  <si>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</si>
  <si>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</si>
  <si>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</si>
  <si>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</si>
  <si>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</si>
  <si>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</si>
  <si>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</si>
  <si>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</si>
  <si>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</si>
  <si>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</si>
  <si>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</si>
  <si>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</si>
  <si>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</si>
  <si>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</si>
  <si>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</si>
  <si>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</si>
  <si>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</si>
  <si>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</si>
  <si>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</si>
  <si>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</si>
  <si>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</si>
  <si>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</si>
  <si>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</si>
  <si>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</si>
  <si>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</si>
  <si>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</si>
  <si>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</si>
  <si>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</si>
  <si>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</si>
  <si>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</si>
  <si>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</si>
  <si>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</si>
  <si>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</si>
  <si>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</si>
  <si>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</si>
  <si>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</si>
  <si>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</si>
  <si>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</si>
  <si>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</si>
  <si>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</si>
  <si>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</si>
  <si>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</si>
  <si>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</si>
  <si>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</si>
  <si>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</si>
  <si>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</si>
  <si>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</si>
  <si>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</si>
  <si>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</si>
  <si>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</si>
  <si>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</si>
  <si>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</si>
  <si>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</si>
  <si>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</si>
  <si>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</si>
  <si>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</si>
  <si>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</si>
  <si>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</si>
  <si>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</si>
  <si>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</si>
  <si>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</si>
  <si>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</si>
  <si>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</si>
  <si>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</si>
  <si>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</si>
  <si>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</si>
  <si>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</si>
  <si>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</si>
  <si>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</si>
  <si>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</si>
  <si>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</si>
  <si>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</si>
  <si>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</si>
  <si>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</si>
  <si>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</si>
  <si>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</si>
  <si>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</si>
  <si>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</si>
  <si>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</si>
  <si>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</si>
  <si>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</si>
  <si>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</si>
  <si>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</si>
  <si>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</si>
  <si>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</si>
  <si>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</si>
  <si>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</si>
  <si>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</si>
  <si>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</si>
  <si>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</si>
  <si>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</si>
  <si>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</si>
  <si>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</si>
  <si>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</si>
  <si>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</si>
  <si>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</si>
  <si>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</si>
  <si>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</si>
  <si>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</si>
  <si>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</si>
  <si>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</si>
  <si>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</si>
  <si>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</si>
  <si>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</si>
  <si>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</si>
  <si>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</si>
  <si>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</si>
  <si>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</si>
  <si>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</si>
  <si>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南方销区港口价格继续上涨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</si>
  <si>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</si>
  <si>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</si>
  <si>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</si>
  <si>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总费用</t>
    <phoneticPr fontId="1" type="noConversion"/>
  </si>
  <si>
    <t>现货仓储天数</t>
    <phoneticPr fontId="1" type="noConversion"/>
  </si>
  <si>
    <t>期货仓单天数</t>
    <phoneticPr fontId="1" type="noConversion"/>
  </si>
  <si>
    <t>交割费用</t>
    <phoneticPr fontId="1" type="noConversion"/>
  </si>
  <si>
    <t>地区</t>
    <phoneticPr fontId="1" type="noConversion"/>
  </si>
  <si>
    <t>库存天数</t>
    <phoneticPr fontId="1" type="noConversion"/>
  </si>
  <si>
    <t>地区</t>
    <phoneticPr fontId="1" type="noConversion"/>
  </si>
  <si>
    <t>企业</t>
    <phoneticPr fontId="1" type="noConversion"/>
  </si>
  <si>
    <t>库存天数</t>
    <phoneticPr fontId="1" type="noConversion"/>
  </si>
  <si>
    <t>广西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</si>
  <si>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</si>
  <si>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</si>
  <si>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</si>
  <si>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月份</t>
    <phoneticPr fontId="1" type="noConversion"/>
  </si>
  <si>
    <t>进口量（万吨）</t>
    <phoneticPr fontId="1" type="noConversion"/>
  </si>
  <si>
    <t>金额（万元）</t>
    <phoneticPr fontId="1" type="noConversion"/>
  </si>
  <si>
    <t>出口量（吨）</t>
    <phoneticPr fontId="1" type="noConversion"/>
  </si>
  <si>
    <t>金额（元）</t>
    <phoneticPr fontId="1" type="noConversion"/>
  </si>
  <si>
    <t>玉米</t>
    <phoneticPr fontId="1" type="noConversion"/>
  </si>
  <si>
    <t>大麦</t>
    <phoneticPr fontId="1" type="noConversion"/>
  </si>
  <si>
    <t>高粱</t>
    <phoneticPr fontId="1" type="noConversion"/>
  </si>
  <si>
    <t>16省白条猪出厂价（元/公斤）</t>
    <phoneticPr fontId="1" type="noConversion"/>
  </si>
  <si>
    <t>宰后均重（公斤）</t>
    <phoneticPr fontId="1" type="noConversion"/>
  </si>
  <si>
    <t>东北地区报价稳定，华北地区报价涨跌互现</t>
    <phoneticPr fontId="1" type="noConversion"/>
  </si>
  <si>
    <t>今日东北产区价格稳定，厂门收购量日益减少。华北地区报价涨跌互现，库存持续消耗中，后期价格或易涨难跌。北方港口价格上涨5-10元/吨，锦州港晨间汽运到港约0.5万吨，鲅鱼圈晨间汽运到港约2.0万吨。销区方面，港口内贸库存持续下降，饲料企业采购意愿有所增强，部分预售二等新粮月底左右交货价在1950元/吨。进口玉米近期大量到货，广东港口进口玉米库存超过42万吨之多，后期可能对销区价格形成压制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</si>
</sst>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</numFmts>
  <fonts count="2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</fonts>
  <fills count="44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685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5" borderId="2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5" borderId="7" xfId="0" applyFont="1" applyFill="1" applyBorder="1" applyAlignment="1">
      <alignment horizontal="center" vertical="center"/>
    </xf>
    <xf numFmtId="0" fontId="2" fillId="35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0" xfId="0" applyNumberForma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2" borderId="0" xfId="0" applyNumberFormat="1" applyFill="1" applyAlignment="1">
      <alignment horizontal="center" vertical="center"/>
    </xf>
    <xf numFmtId="0" fontId="0" fillId="32" borderId="15" xfId="0" applyNumberFormat="1" applyFill="1" applyBorder="1" applyAlignment="1">
      <alignment horizontal="center" vertical="center"/>
    </xf>
    <xf numFmtId="0" fontId="0" fillId="36" borderId="0" xfId="0" applyNumberFormat="1" applyFill="1" applyAlignment="1">
      <alignment horizontal="center" vertical="center"/>
    </xf>
    <xf numFmtId="0" fontId="0" fillId="36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3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38" borderId="12" xfId="0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39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182" fontId="13" fillId="38" borderId="12" xfId="0" applyNumberFormat="1" applyFont="1" applyFill="1" applyBorder="1" applyAlignment="1">
      <alignment horizontal="center" vertical="center"/>
    </xf>
    <xf numFmtId="0" fontId="17" fillId="38" borderId="12" xfId="0" applyNumberFormat="1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" fontId="18" fillId="38" borderId="12" xfId="0" applyNumberFormat="1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0" fontId="18" fillId="38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40" borderId="0" xfId="0" applyFill="1"/>
    <xf numFmtId="0" fontId="0" fillId="0" borderId="0" xfId="0"/>
    <xf numFmtId="0" fontId="19" fillId="0" borderId="12" xfId="0" applyFont="1" applyBorder="1" applyAlignment="1">
      <alignment horizontal="center" vertical="center"/>
    </xf>
    <xf numFmtId="0" fontId="0" fillId="0" borderId="0" xfId="0"/>
    <xf numFmtId="1" fontId="20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0" borderId="0" xfId="0" applyFill="1" applyAlignment="1">
      <alignment horizontal="center" vertical="center"/>
    </xf>
    <xf numFmtId="0" fontId="14" fillId="40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1" fillId="15" borderId="12" xfId="0" applyNumberFormat="1" applyFont="1" applyFill="1" applyBorder="1" applyAlignment="1">
      <alignment horizontal="center" vertical="center"/>
    </xf>
    <xf numFmtId="182" fontId="22" fillId="38" borderId="12" xfId="0" applyNumberFormat="1" applyFont="1" applyFill="1" applyBorder="1" applyAlignment="1">
      <alignment horizontal="center" vertical="center"/>
    </xf>
    <xf numFmtId="0" fontId="22" fillId="0" borderId="12" xfId="0" applyNumberFormat="1" applyFont="1" applyBorder="1" applyAlignment="1">
      <alignment horizontal="center" vertical="center"/>
    </xf>
    <xf numFmtId="1" fontId="21" fillId="39" borderId="12" xfId="0" applyNumberFormat="1" applyFont="1" applyFill="1" applyBorder="1" applyAlignment="1">
      <alignment horizontal="center" vertical="center"/>
    </xf>
    <xf numFmtId="1" fontId="22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1" fontId="0" fillId="0" borderId="0" xfId="0" applyNumberFormat="1"/>
    <xf numFmtId="0" fontId="0" fillId="0" borderId="27" xfId="0" applyBorder="1"/>
    <xf numFmtId="0" fontId="0" fillId="0" borderId="29" xfId="0" applyBorder="1"/>
    <xf numFmtId="0" fontId="0" fillId="0" borderId="30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81" fontId="0" fillId="0" borderId="28" xfId="0" applyNumberFormat="1" applyBorder="1"/>
    <xf numFmtId="0" fontId="0" fillId="40" borderId="0" xfId="0" applyFill="1" applyAlignment="1">
      <alignment horizontal="center"/>
    </xf>
    <xf numFmtId="0" fontId="0" fillId="40" borderId="0" xfId="0" applyNumberFormat="1" applyFill="1"/>
    <xf numFmtId="0" fontId="12" fillId="0" borderId="12" xfId="0" applyFont="1" applyBorder="1" applyAlignment="1">
      <alignment horizontal="center" vertical="center"/>
    </xf>
    <xf numFmtId="0" fontId="12" fillId="15" borderId="12" xfId="0" applyFont="1" applyFill="1" applyBorder="1" applyAlignment="1">
      <alignment horizontal="center" vertical="center"/>
    </xf>
    <xf numFmtId="14" fontId="12" fillId="15" borderId="12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7" fillId="33" borderId="18" xfId="0" applyFont="1" applyFill="1" applyBorder="1" applyAlignment="1">
      <alignment horizontal="center" vertical="center"/>
    </xf>
    <xf numFmtId="0" fontId="7" fillId="33" borderId="12" xfId="0" applyFont="1" applyFill="1" applyBorder="1" applyAlignment="1">
      <alignment horizontal="center" vertical="center"/>
    </xf>
    <xf numFmtId="0" fontId="6" fillId="33" borderId="12" xfId="0" applyFont="1" applyFill="1" applyBorder="1" applyAlignment="1">
      <alignment horizontal="center" vertical="center"/>
    </xf>
    <xf numFmtId="0" fontId="6" fillId="34" borderId="12" xfId="0" applyFont="1" applyFill="1" applyBorder="1" applyAlignment="1">
      <alignment horizontal="center" vertical="center"/>
    </xf>
    <xf numFmtId="0" fontId="6" fillId="31" borderId="12" xfId="0" applyFont="1" applyFill="1" applyBorder="1" applyAlignment="1">
      <alignment horizontal="center" vertical="center"/>
    </xf>
    <xf numFmtId="0" fontId="6" fillId="39" borderId="12" xfId="0" applyFont="1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12" fillId="27" borderId="1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9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5" fillId="37" borderId="25" xfId="0" applyNumberFormat="1" applyFont="1" applyFill="1" applyBorder="1" applyAlignment="1">
      <alignment horizontal="center" vertical="center"/>
    </xf>
    <xf numFmtId="14" fontId="15" fillId="37" borderId="26" xfId="0" applyNumberFormat="1" applyFont="1" applyFill="1" applyBorder="1" applyAlignment="1">
      <alignment horizontal="center" vertical="center"/>
    </xf>
    <xf numFmtId="14" fontId="15" fillId="37" borderId="13" xfId="0" applyNumberFormat="1" applyFont="1" applyFill="1" applyBorder="1" applyAlignment="1">
      <alignment horizontal="center" vertical="center"/>
    </xf>
    <xf numFmtId="0" fontId="13" fillId="15" borderId="25" xfId="0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5" xfId="0" applyNumberFormat="1" applyFont="1" applyFill="1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5" xfId="0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5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15" borderId="12" xfId="0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/>
    </xf>
    <xf numFmtId="0" fontId="13" fillId="33" borderId="5" xfId="0" applyFont="1" applyFill="1" applyBorder="1" applyAlignment="1">
      <alignment horizontal="center" vertical="center"/>
    </xf>
    <xf numFmtId="0" fontId="13" fillId="33" borderId="16" xfId="0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38" borderId="12" xfId="0" applyNumberFormat="1" applyFont="1" applyFill="1" applyBorder="1" applyAlignment="1">
      <alignment horizontal="center" vertical="center"/>
    </xf>
    <xf numFmtId="182" fontId="17" fillId="38" borderId="12" xfId="0" applyNumberFormat="1" applyFont="1" applyFill="1" applyBorder="1" applyAlignment="1">
      <alignment horizontal="center" vertical="center"/>
    </xf>
    <xf numFmtId="0" fontId="15" fillId="38" borderId="12" xfId="0" applyFont="1" applyFill="1" applyBorder="1" applyAlignment="1">
      <alignment horizontal="center" vertical="center"/>
    </xf>
    <xf numFmtId="14" fontId="15" fillId="37" borderId="12" xfId="0" applyNumberFormat="1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39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7" fillId="38" borderId="19" xfId="0" applyNumberFormat="1" applyFont="1" applyFill="1" applyBorder="1" applyAlignment="1">
      <alignment vertical="center" wrapText="1"/>
    </xf>
    <xf numFmtId="0" fontId="17" fillId="38" borderId="22" xfId="0" applyNumberFormat="1" applyFont="1" applyFill="1" applyBorder="1" applyAlignment="1">
      <alignment vertical="center" wrapText="1"/>
    </xf>
    <xf numFmtId="0" fontId="17" fillId="38" borderId="17" xfId="0" applyNumberFormat="1" applyFont="1" applyFill="1" applyBorder="1" applyAlignment="1">
      <alignment vertical="center" wrapText="1"/>
    </xf>
    <xf numFmtId="182" fontId="23" fillId="38" borderId="14" xfId="0" applyNumberFormat="1" applyFont="1" applyFill="1" applyBorder="1" applyAlignment="1">
      <alignment horizontal="center" vertical="center"/>
    </xf>
    <xf numFmtId="182" fontId="23" fillId="38" borderId="5" xfId="0" applyNumberFormat="1" applyFont="1" applyFill="1" applyBorder="1" applyAlignment="1">
      <alignment horizontal="center" vertical="center"/>
    </xf>
    <xf numFmtId="182" fontId="23" fillId="38" borderId="16" xfId="0" applyNumberFormat="1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 vertical="center"/>
    </xf>
    <xf numFmtId="185" fontId="13" fillId="38" borderId="12" xfId="0" applyNumberFormat="1" applyFont="1" applyFill="1" applyBorder="1" applyAlignment="1">
      <alignment horizontal="center" vertical="center"/>
    </xf>
    <xf numFmtId="0" fontId="13" fillId="38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0" fillId="0" borderId="3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42" borderId="26" xfId="0" applyNumberFormat="1" applyFont="1" applyFill="1" applyBorder="1" applyAlignment="1">
      <alignment horizontal="center"/>
    </xf>
    <xf numFmtId="0" fontId="13" fillId="30" borderId="12" xfId="0" applyFont="1" applyFill="1" applyBorder="1" applyAlignment="1">
      <alignment horizontal="center" vertical="center"/>
    </xf>
    <xf numFmtId="0" fontId="13" fillId="41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38" borderId="12" xfId="0" applyFont="1" applyFill="1" applyBorder="1" applyAlignment="1">
      <alignment horizontal="center" vertical="center" wrapText="1"/>
    </xf>
    <xf numFmtId="181" fontId="13" fillId="38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78" fontId="12" fillId="0" borderId="0" xfId="1" applyNumberFormat="1" applyFont="1" applyBorder="1" applyAlignment="1">
      <alignment horizontal="center" vertical="center"/>
    </xf>
    <xf numFmtId="0" fontId="12" fillId="38" borderId="0" xfId="0" applyFont="1" applyFill="1" applyBorder="1" applyAlignment="1">
      <alignment horizontal="center" vertical="center"/>
    </xf>
    <xf numFmtId="14" fontId="12" fillId="38" borderId="0" xfId="0" applyNumberFormat="1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685638816"/>
        <c:axId val="-685629568"/>
      </c:lineChart>
      <c:catAx>
        <c:axId val="-6856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29568"/>
        <c:crosses val="autoZero"/>
        <c:auto val="1"/>
        <c:lblAlgn val="ctr"/>
        <c:lblOffset val="100"/>
        <c:noMultiLvlLbl val="0"/>
      </c:catAx>
      <c:valAx>
        <c:axId val="-685629568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68563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5633920"/>
        <c:axId val="-685640992"/>
      </c:lineChart>
      <c:dateAx>
        <c:axId val="-68563392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40992"/>
        <c:crosses val="autoZero"/>
        <c:auto val="1"/>
        <c:lblOffset val="100"/>
        <c:baseTimeUnit val="months"/>
      </c:dateAx>
      <c:valAx>
        <c:axId val="-6856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5639360"/>
        <c:axId val="-685633376"/>
      </c:lineChart>
      <c:dateAx>
        <c:axId val="-68563936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3376"/>
        <c:crosses val="autoZero"/>
        <c:auto val="1"/>
        <c:lblOffset val="100"/>
        <c:baseTimeUnit val="months"/>
      </c:dateAx>
      <c:valAx>
        <c:axId val="-6856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仔猪价格与广东玉米价格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PigPrice!$B$1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  <c:pt idx="82">
                  <c:v>36.340000000000003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PigPrice!$C$1</c:f>
              <c:strCache>
                <c:ptCount val="1"/>
                <c:pt idx="0">
                  <c:v>16省白条猪出厂价（元/公斤）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PigPrice!$C$2:$C$164</c:f>
              <c:numCache>
                <c:formatCode>General</c:formatCode>
                <c:ptCount val="163"/>
                <c:pt idx="20">
                  <c:v>19.68</c:v>
                </c:pt>
                <c:pt idx="21">
                  <c:v>18.690000000000001</c:v>
                </c:pt>
                <c:pt idx="23">
                  <c:v>18.170000000000002</c:v>
                </c:pt>
                <c:pt idx="24">
                  <c:v>15.63</c:v>
                </c:pt>
                <c:pt idx="25">
                  <c:v>15.23</c:v>
                </c:pt>
                <c:pt idx="26">
                  <c:v>14.9</c:v>
                </c:pt>
                <c:pt idx="27">
                  <c:v>14.09</c:v>
                </c:pt>
                <c:pt idx="28">
                  <c:v>13.91</c:v>
                </c:pt>
                <c:pt idx="29">
                  <c:v>13.88</c:v>
                </c:pt>
                <c:pt idx="30">
                  <c:v>13.84</c:v>
                </c:pt>
                <c:pt idx="31">
                  <c:v>13.79</c:v>
                </c:pt>
                <c:pt idx="32">
                  <c:v>13.76</c:v>
                </c:pt>
                <c:pt idx="33">
                  <c:v>13.74</c:v>
                </c:pt>
                <c:pt idx="34">
                  <c:v>13.67</c:v>
                </c:pt>
                <c:pt idx="35">
                  <c:v>13.58</c:v>
                </c:pt>
                <c:pt idx="36">
                  <c:v>14.17</c:v>
                </c:pt>
                <c:pt idx="37">
                  <c:v>15.33</c:v>
                </c:pt>
                <c:pt idx="38">
                  <c:v>15.26</c:v>
                </c:pt>
                <c:pt idx="39">
                  <c:v>15.26</c:v>
                </c:pt>
                <c:pt idx="40">
                  <c:v>15.29</c:v>
                </c:pt>
                <c:pt idx="41">
                  <c:v>15.26</c:v>
                </c:pt>
                <c:pt idx="42">
                  <c:v>15.29</c:v>
                </c:pt>
                <c:pt idx="43">
                  <c:v>17.239999999999998</c:v>
                </c:pt>
                <c:pt idx="44">
                  <c:v>16.88</c:v>
                </c:pt>
                <c:pt idx="45">
                  <c:v>17.79</c:v>
                </c:pt>
                <c:pt idx="46">
                  <c:v>17.91</c:v>
                </c:pt>
                <c:pt idx="47">
                  <c:v>18.63</c:v>
                </c:pt>
                <c:pt idx="48">
                  <c:v>18.86</c:v>
                </c:pt>
                <c:pt idx="49">
                  <c:v>18.71</c:v>
                </c:pt>
                <c:pt idx="50">
                  <c:v>18.5</c:v>
                </c:pt>
                <c:pt idx="51">
                  <c:v>19.059999999999999</c:v>
                </c:pt>
                <c:pt idx="52">
                  <c:v>19.16</c:v>
                </c:pt>
                <c:pt idx="53">
                  <c:v>19.38</c:v>
                </c:pt>
                <c:pt idx="54">
                  <c:v>19.309999999999999</c:v>
                </c:pt>
                <c:pt idx="56">
                  <c:v>19.170000000000002</c:v>
                </c:pt>
                <c:pt idx="57">
                  <c:v>19.04</c:v>
                </c:pt>
                <c:pt idx="58">
                  <c:v>18.63</c:v>
                </c:pt>
                <c:pt idx="59">
                  <c:v>18.45</c:v>
                </c:pt>
                <c:pt idx="60">
                  <c:v>18.239999999999998</c:v>
                </c:pt>
                <c:pt idx="61">
                  <c:v>17.96</c:v>
                </c:pt>
                <c:pt idx="62">
                  <c:v>17.62</c:v>
                </c:pt>
                <c:pt idx="63">
                  <c:v>17.63</c:v>
                </c:pt>
                <c:pt idx="64">
                  <c:v>18.010000000000002</c:v>
                </c:pt>
                <c:pt idx="65">
                  <c:v>18.16</c:v>
                </c:pt>
                <c:pt idx="66">
                  <c:v>17.89</c:v>
                </c:pt>
                <c:pt idx="67">
                  <c:v>17.59</c:v>
                </c:pt>
                <c:pt idx="68">
                  <c:v>17.579999999999998</c:v>
                </c:pt>
                <c:pt idx="69">
                  <c:v>17.010000000000002</c:v>
                </c:pt>
                <c:pt idx="70">
                  <c:v>16.37</c:v>
                </c:pt>
                <c:pt idx="71">
                  <c:v>15.39</c:v>
                </c:pt>
                <c:pt idx="72">
                  <c:v>15.35</c:v>
                </c:pt>
                <c:pt idx="74">
                  <c:v>16.27</c:v>
                </c:pt>
                <c:pt idx="76">
                  <c:v>15.94</c:v>
                </c:pt>
                <c:pt idx="77">
                  <c:v>17.39</c:v>
                </c:pt>
                <c:pt idx="78">
                  <c:v>20.14</c:v>
                </c:pt>
                <c:pt idx="79">
                  <c:v>20.62</c:v>
                </c:pt>
                <c:pt idx="80">
                  <c:v>20.32</c:v>
                </c:pt>
                <c:pt idx="81">
                  <c:v>20.399999999999999</c:v>
                </c:pt>
                <c:pt idx="82">
                  <c:v>20.28</c:v>
                </c:pt>
                <c:pt idx="83">
                  <c:v>19.850000000000001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PigPrice!$D$1</c:f>
              <c:strCache>
                <c:ptCount val="1"/>
                <c:pt idx="0">
                  <c:v>宰后均重（公斤）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PigPrice!$D$2:$D$164</c:f>
              <c:numCache>
                <c:formatCode>General</c:formatCode>
                <c:ptCount val="163"/>
                <c:pt idx="20">
                  <c:v>84.13</c:v>
                </c:pt>
                <c:pt idx="21">
                  <c:v>84.13</c:v>
                </c:pt>
                <c:pt idx="24">
                  <c:v>83.43</c:v>
                </c:pt>
                <c:pt idx="25">
                  <c:v>83.56</c:v>
                </c:pt>
                <c:pt idx="26">
                  <c:v>83.72</c:v>
                </c:pt>
                <c:pt idx="27">
                  <c:v>83.93</c:v>
                </c:pt>
                <c:pt idx="28">
                  <c:v>84</c:v>
                </c:pt>
                <c:pt idx="29">
                  <c:v>84.05</c:v>
                </c:pt>
                <c:pt idx="30">
                  <c:v>84.11</c:v>
                </c:pt>
                <c:pt idx="31">
                  <c:v>84.17</c:v>
                </c:pt>
                <c:pt idx="32">
                  <c:v>84.2</c:v>
                </c:pt>
                <c:pt idx="33">
                  <c:v>84.13</c:v>
                </c:pt>
                <c:pt idx="34">
                  <c:v>84.13</c:v>
                </c:pt>
                <c:pt idx="35">
                  <c:v>84.01</c:v>
                </c:pt>
                <c:pt idx="36">
                  <c:v>83.8</c:v>
                </c:pt>
                <c:pt idx="37">
                  <c:v>83.57</c:v>
                </c:pt>
                <c:pt idx="38">
                  <c:v>83.43</c:v>
                </c:pt>
                <c:pt idx="39">
                  <c:v>83.27</c:v>
                </c:pt>
                <c:pt idx="40">
                  <c:v>83.19</c:v>
                </c:pt>
                <c:pt idx="41">
                  <c:v>83.16</c:v>
                </c:pt>
                <c:pt idx="42">
                  <c:v>83.05</c:v>
                </c:pt>
                <c:pt idx="43">
                  <c:v>83.32</c:v>
                </c:pt>
                <c:pt idx="44">
                  <c:v>83.26</c:v>
                </c:pt>
                <c:pt idx="45">
                  <c:v>83.17</c:v>
                </c:pt>
                <c:pt idx="46">
                  <c:v>83.09</c:v>
                </c:pt>
                <c:pt idx="47">
                  <c:v>82.98</c:v>
                </c:pt>
                <c:pt idx="48">
                  <c:v>82.78</c:v>
                </c:pt>
                <c:pt idx="49">
                  <c:v>82.7</c:v>
                </c:pt>
                <c:pt idx="50">
                  <c:v>81.3</c:v>
                </c:pt>
                <c:pt idx="51">
                  <c:v>82.34</c:v>
                </c:pt>
                <c:pt idx="52">
                  <c:v>82.05</c:v>
                </c:pt>
                <c:pt idx="53">
                  <c:v>81.739999999999995</c:v>
                </c:pt>
                <c:pt idx="54">
                  <c:v>81.83</c:v>
                </c:pt>
                <c:pt idx="56">
                  <c:v>80.650000000000006</c:v>
                </c:pt>
                <c:pt idx="57">
                  <c:v>82.54</c:v>
                </c:pt>
                <c:pt idx="58">
                  <c:v>83.5</c:v>
                </c:pt>
                <c:pt idx="59">
                  <c:v>83.75</c:v>
                </c:pt>
                <c:pt idx="60">
                  <c:v>83.93</c:v>
                </c:pt>
                <c:pt idx="61">
                  <c:v>84.37</c:v>
                </c:pt>
                <c:pt idx="62">
                  <c:v>84.38</c:v>
                </c:pt>
                <c:pt idx="64">
                  <c:v>84.85</c:v>
                </c:pt>
                <c:pt idx="65">
                  <c:v>85.05</c:v>
                </c:pt>
                <c:pt idx="66">
                  <c:v>85.12</c:v>
                </c:pt>
                <c:pt idx="67">
                  <c:v>85.18</c:v>
                </c:pt>
                <c:pt idx="68">
                  <c:v>84.98</c:v>
                </c:pt>
                <c:pt idx="69">
                  <c:v>84.89</c:v>
                </c:pt>
                <c:pt idx="70">
                  <c:v>84.41</c:v>
                </c:pt>
                <c:pt idx="71">
                  <c:v>84.18</c:v>
                </c:pt>
                <c:pt idx="72">
                  <c:v>83.79</c:v>
                </c:pt>
                <c:pt idx="74">
                  <c:v>83.19</c:v>
                </c:pt>
                <c:pt idx="76">
                  <c:v>83.04</c:v>
                </c:pt>
                <c:pt idx="77">
                  <c:v>83.14</c:v>
                </c:pt>
                <c:pt idx="78">
                  <c:v>83.38</c:v>
                </c:pt>
                <c:pt idx="79">
                  <c:v>83.59</c:v>
                </c:pt>
                <c:pt idx="80">
                  <c:v>84.12</c:v>
                </c:pt>
                <c:pt idx="81">
                  <c:v>84.24</c:v>
                </c:pt>
                <c:pt idx="82">
                  <c:v>84.34</c:v>
                </c:pt>
                <c:pt idx="83">
                  <c:v>84.4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640448"/>
        <c:axId val="-685637184"/>
      </c:lineChart>
      <c:lineChart>
        <c:grouping val="standard"/>
        <c:varyColors val="0"/>
        <c:ser>
          <c:idx val="1"/>
          <c:order val="1"/>
          <c:tx>
            <c:strRef>
              <c:f>PigPrice!$E$1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PigPrice!$A$2:$A$164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43229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PigPrice!$E$2:$E$164</c:f>
              <c:numCache>
                <c:formatCode>General</c:formatCode>
                <c:ptCount val="163"/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636096"/>
        <c:axId val="-685630656"/>
      </c:lineChart>
      <c:dateAx>
        <c:axId val="-68564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7184"/>
        <c:crosses val="autoZero"/>
        <c:auto val="1"/>
        <c:lblOffset val="100"/>
        <c:baseTimeUnit val="days"/>
      </c:dateAx>
      <c:valAx>
        <c:axId val="-6856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40448"/>
        <c:crosses val="autoZero"/>
        <c:crossBetween val="between"/>
      </c:valAx>
      <c:valAx>
        <c:axId val="-6856306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6096"/>
        <c:crosses val="max"/>
        <c:crossBetween val="between"/>
      </c:valAx>
      <c:dateAx>
        <c:axId val="-685636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6856306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4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482.20000000000016</c:v>
                </c:pt>
                <c:pt idx="1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5634464"/>
        <c:axId val="-685632832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4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4.3000000000000682</c:v>
                </c:pt>
                <c:pt idx="113">
                  <c:v>-482.20000000000016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685639904"/>
        <c:axId val="-685631744"/>
      </c:barChart>
      <c:catAx>
        <c:axId val="-685634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2832"/>
        <c:crosses val="autoZero"/>
        <c:auto val="0"/>
        <c:lblAlgn val="ctr"/>
        <c:lblOffset val="100"/>
        <c:noMultiLvlLbl val="0"/>
      </c:catAx>
      <c:valAx>
        <c:axId val="-68563283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4464"/>
        <c:crosses val="autoZero"/>
        <c:crossBetween val="between"/>
      </c:valAx>
      <c:valAx>
        <c:axId val="-6856317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9904"/>
        <c:crosses val="max"/>
        <c:crossBetween val="between"/>
      </c:valAx>
      <c:catAx>
        <c:axId val="-685639904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68563174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2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2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85638272"/>
        <c:axId val="-68563011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2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5644256"/>
        <c:axId val="-685629024"/>
      </c:lineChart>
      <c:catAx>
        <c:axId val="-68563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0112"/>
        <c:crosses val="autoZero"/>
        <c:auto val="0"/>
        <c:lblAlgn val="ctr"/>
        <c:lblOffset val="100"/>
        <c:noMultiLvlLbl val="0"/>
      </c:catAx>
      <c:valAx>
        <c:axId val="-6856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38272"/>
        <c:crosses val="autoZero"/>
        <c:crossBetween val="between"/>
      </c:valAx>
      <c:valAx>
        <c:axId val="-685629024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5644256"/>
        <c:crosses val="max"/>
        <c:crossBetween val="between"/>
      </c:valAx>
      <c:catAx>
        <c:axId val="-6856442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685629024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2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86343712"/>
        <c:axId val="-498196256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2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8202240"/>
        <c:axId val="-498194080"/>
      </c:lineChart>
      <c:catAx>
        <c:axId val="-786343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8196256"/>
        <c:crosses val="autoZero"/>
        <c:auto val="0"/>
        <c:lblAlgn val="ctr"/>
        <c:lblOffset val="100"/>
        <c:noMultiLvlLbl val="0"/>
      </c:catAx>
      <c:valAx>
        <c:axId val="-4981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86343712"/>
        <c:crosses val="autoZero"/>
        <c:crossBetween val="between"/>
      </c:valAx>
      <c:valAx>
        <c:axId val="-49819408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8202240"/>
        <c:crosses val="max"/>
        <c:crossBetween val="between"/>
      </c:valAx>
      <c:dateAx>
        <c:axId val="-4982022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4981940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2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2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8189728"/>
        <c:axId val="-49819299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2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8198976"/>
        <c:axId val="-498192448"/>
      </c:lineChart>
      <c:catAx>
        <c:axId val="-49818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8192992"/>
        <c:crosses val="autoZero"/>
        <c:auto val="0"/>
        <c:lblAlgn val="ctr"/>
        <c:lblOffset val="100"/>
        <c:noMultiLvlLbl val="0"/>
      </c:catAx>
      <c:valAx>
        <c:axId val="-4981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8189728"/>
        <c:crosses val="autoZero"/>
        <c:crossBetween val="between"/>
      </c:valAx>
      <c:valAx>
        <c:axId val="-4981924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8198976"/>
        <c:crosses val="max"/>
        <c:crossBetween val="between"/>
      </c:valAx>
      <c:dateAx>
        <c:axId val="-498198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4981924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2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8198432"/>
        <c:axId val="-498204416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2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  <c:pt idx="91">
                  <c:v>43574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2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98193536"/>
        <c:axId val="-498201152"/>
      </c:lineChart>
      <c:catAx>
        <c:axId val="-498198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8204416"/>
        <c:crosses val="autoZero"/>
        <c:auto val="0"/>
        <c:lblAlgn val="ctr"/>
        <c:lblOffset val="100"/>
        <c:noMultiLvlLbl val="0"/>
      </c:catAx>
      <c:valAx>
        <c:axId val="-4982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8198432"/>
        <c:crosses val="autoZero"/>
        <c:crossBetween val="between"/>
      </c:valAx>
      <c:valAx>
        <c:axId val="-4982011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98193536"/>
        <c:crosses val="max"/>
        <c:crossBetween val="between"/>
      </c:valAx>
      <c:dateAx>
        <c:axId val="-4981935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4982011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71</xdr:row>
      <xdr:rowOff>23810</xdr:rowOff>
    </xdr:from>
    <xdr:to>
      <xdr:col>17</xdr:col>
      <xdr:colOff>85725</xdr:colOff>
      <xdr:row>91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53"/>
  <sheetViews>
    <sheetView workbookViewId="0">
      <pane xSplit="1" ySplit="1" topLeftCell="AU1635" activePane="bottomRight" state="frozen"/>
      <selection pane="topRight" activeCell="B1" sqref="B1"/>
      <selection pane="bottomLeft" activeCell="A2" sqref="A2"/>
      <selection pane="bottomRight" activeCell="BA1652" sqref="BA1652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40" bestFit="1" customWidth="1"/>
    <col min="9" max="9" width="5.25" style="240" bestFit="1" customWidth="1"/>
    <col min="10" max="10" width="6.5" style="242" bestFit="1" customWidth="1"/>
    <col min="11" max="11" width="5.25" style="242" bestFit="1" customWidth="1"/>
    <col min="12" max="13" width="5.5" style="244" bestFit="1" customWidth="1"/>
    <col min="14" max="14" width="9" style="246" bestFit="1" customWidth="1"/>
    <col min="15" max="15" width="5.25" style="246" bestFit="1" customWidth="1"/>
    <col min="16" max="16" width="17.25" style="135" bestFit="1" customWidth="1"/>
    <col min="17" max="18" width="5.25" style="135" bestFit="1" customWidth="1"/>
    <col min="19" max="19" width="9" style="237" bestFit="1" customWidth="1"/>
    <col min="20" max="20" width="9" style="173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153</v>
      </c>
      <c r="C1" s="134" t="s">
        <v>307</v>
      </c>
      <c r="D1" s="134" t="s">
        <v>154</v>
      </c>
      <c r="E1" s="134" t="s">
        <v>313</v>
      </c>
      <c r="F1" s="134" t="s">
        <v>155</v>
      </c>
      <c r="G1" s="134" t="s">
        <v>318</v>
      </c>
      <c r="H1" s="240" t="s">
        <v>246</v>
      </c>
      <c r="I1" s="240" t="s">
        <v>308</v>
      </c>
      <c r="J1" s="242" t="s">
        <v>247</v>
      </c>
      <c r="K1" s="242" t="s">
        <v>309</v>
      </c>
      <c r="L1" s="244" t="s">
        <v>248</v>
      </c>
      <c r="M1" s="244" t="s">
        <v>310</v>
      </c>
      <c r="N1" s="246" t="s">
        <v>300</v>
      </c>
      <c r="O1" s="246" t="s">
        <v>311</v>
      </c>
      <c r="P1" s="135" t="s">
        <v>312</v>
      </c>
      <c r="Q1" s="135" t="s">
        <v>394</v>
      </c>
      <c r="R1" s="135" t="s">
        <v>245</v>
      </c>
      <c r="S1" s="237" t="s">
        <v>305</v>
      </c>
      <c r="T1" s="173" t="s">
        <v>105</v>
      </c>
      <c r="U1" s="137" t="s">
        <v>170</v>
      </c>
      <c r="V1" s="138" t="s">
        <v>117</v>
      </c>
      <c r="W1" s="138" t="s">
        <v>314</v>
      </c>
      <c r="X1" s="138" t="s">
        <v>319</v>
      </c>
      <c r="Y1" s="136" t="s">
        <v>106</v>
      </c>
      <c r="Z1" s="137" t="s">
        <v>171</v>
      </c>
      <c r="AA1" s="138" t="s">
        <v>422</v>
      </c>
      <c r="AB1" s="138" t="s">
        <v>118</v>
      </c>
      <c r="AC1" s="138" t="s">
        <v>237</v>
      </c>
      <c r="AD1" s="138" t="s">
        <v>315</v>
      </c>
      <c r="AE1" s="138" t="s">
        <v>320</v>
      </c>
      <c r="AF1" s="136" t="s">
        <v>107</v>
      </c>
      <c r="AG1" s="136" t="s">
        <v>181</v>
      </c>
      <c r="AH1" s="138" t="s">
        <v>119</v>
      </c>
      <c r="AI1" s="136" t="s">
        <v>108</v>
      </c>
      <c r="AJ1" s="137" t="s">
        <v>172</v>
      </c>
      <c r="AK1" s="138" t="s">
        <v>120</v>
      </c>
      <c r="AL1" s="136" t="s">
        <v>109</v>
      </c>
      <c r="AM1" s="139" t="s">
        <v>165</v>
      </c>
      <c r="AN1" s="138" t="s">
        <v>35</v>
      </c>
      <c r="AO1" s="138" t="s">
        <v>253</v>
      </c>
      <c r="AP1" s="138" t="s">
        <v>258</v>
      </c>
      <c r="AQ1" s="138" t="s">
        <v>333</v>
      </c>
      <c r="AR1" s="138" t="s">
        <v>427</v>
      </c>
      <c r="AS1" s="136" t="s">
        <v>110</v>
      </c>
      <c r="AT1" s="138" t="s">
        <v>121</v>
      </c>
      <c r="AU1" s="136" t="s">
        <v>111</v>
      </c>
      <c r="AV1" s="136" t="s">
        <v>112</v>
      </c>
      <c r="AW1" s="136" t="s">
        <v>242</v>
      </c>
      <c r="AX1" s="385" t="s">
        <v>243</v>
      </c>
      <c r="AY1" s="136" t="s">
        <v>244</v>
      </c>
      <c r="AZ1" s="136" t="s">
        <v>429</v>
      </c>
      <c r="BA1" s="385" t="s">
        <v>216</v>
      </c>
      <c r="BB1" s="136" t="s">
        <v>431</v>
      </c>
      <c r="BC1" s="385" t="s">
        <v>217</v>
      </c>
      <c r="BD1" s="385" t="s">
        <v>239</v>
      </c>
      <c r="BE1" s="385" t="s">
        <v>240</v>
      </c>
      <c r="BF1" s="386" t="s">
        <v>241</v>
      </c>
      <c r="BG1" s="386" t="s">
        <v>437</v>
      </c>
      <c r="BH1" s="386" t="s">
        <v>433</v>
      </c>
      <c r="BI1" s="136" t="s">
        <v>249</v>
      </c>
      <c r="BJ1" s="136" t="s">
        <v>250</v>
      </c>
      <c r="BK1" s="136" t="s">
        <v>251</v>
      </c>
      <c r="BL1" s="136" t="s">
        <v>301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73">
        <v>1590</v>
      </c>
      <c r="V1492" s="138">
        <v>1580</v>
      </c>
      <c r="Y1492" s="136">
        <v>1560</v>
      </c>
      <c r="AB1492" s="138">
        <v>1600</v>
      </c>
      <c r="AH1492" s="138" t="s">
        <v>128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73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41"/>
      <c r="I1501" s="241"/>
      <c r="J1501" s="243"/>
      <c r="K1501" s="243"/>
      <c r="L1501" s="245"/>
      <c r="M1501" s="245"/>
      <c r="N1501" s="247"/>
      <c r="O1501" s="247"/>
      <c r="P1501" s="142"/>
      <c r="Q1501" s="142"/>
      <c r="R1501" s="142"/>
      <c r="S1501" s="238"/>
      <c r="T1501" s="239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41"/>
      <c r="I1502" s="241"/>
      <c r="J1502" s="243"/>
      <c r="K1502" s="243"/>
      <c r="L1502" s="245"/>
      <c r="M1502" s="245"/>
      <c r="N1502" s="247"/>
      <c r="O1502" s="247"/>
      <c r="P1502" s="142"/>
      <c r="Q1502" s="142"/>
      <c r="R1502" s="142"/>
      <c r="S1502" s="238"/>
      <c r="T1502" s="239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41"/>
      <c r="I1503" s="241"/>
      <c r="J1503" s="243"/>
      <c r="K1503" s="243"/>
      <c r="L1503" s="245"/>
      <c r="M1503" s="245"/>
      <c r="N1503" s="247"/>
      <c r="O1503" s="247"/>
      <c r="P1503" s="142">
        <v>63</v>
      </c>
      <c r="Q1503" s="142"/>
      <c r="R1503" s="142"/>
      <c r="S1503" s="238"/>
      <c r="T1503" s="239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41"/>
      <c r="I1504" s="241"/>
      <c r="J1504" s="243"/>
      <c r="K1504" s="243"/>
      <c r="L1504" s="245"/>
      <c r="M1504" s="245"/>
      <c r="N1504" s="247"/>
      <c r="O1504" s="247"/>
      <c r="P1504" s="142">
        <v>61</v>
      </c>
      <c r="Q1504" s="142"/>
      <c r="R1504" s="142"/>
      <c r="S1504" s="238"/>
      <c r="T1504" s="239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41"/>
      <c r="I1505" s="241"/>
      <c r="J1505" s="243"/>
      <c r="K1505" s="243"/>
      <c r="L1505" s="245"/>
      <c r="M1505" s="245"/>
      <c r="N1505" s="247"/>
      <c r="O1505" s="247"/>
      <c r="P1505" s="142"/>
      <c r="Q1505" s="142"/>
      <c r="R1505" s="142"/>
      <c r="S1505" s="238"/>
      <c r="T1505" s="239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41"/>
      <c r="I1506" s="241"/>
      <c r="J1506" s="243"/>
      <c r="K1506" s="243"/>
      <c r="L1506" s="245"/>
      <c r="M1506" s="245"/>
      <c r="N1506" s="247"/>
      <c r="O1506" s="247"/>
      <c r="P1506" s="142"/>
      <c r="Q1506" s="142"/>
      <c r="R1506" s="142"/>
      <c r="S1506" s="238"/>
      <c r="T1506" s="239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36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36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36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36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36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36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36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36"/>
      <c r="F1514" s="134">
        <v>1920</v>
      </c>
      <c r="P1514" s="135">
        <v>62</v>
      </c>
      <c r="T1514" s="173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36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36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36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36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36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73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73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73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73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40">
        <v>1950</v>
      </c>
      <c r="I1534" s="240">
        <f>H1534-P1534-C1534-90</f>
        <v>0</v>
      </c>
      <c r="J1534" s="242">
        <v>1980</v>
      </c>
      <c r="K1534" s="242">
        <f>J1534-R1534-C1534-90</f>
        <v>32</v>
      </c>
      <c r="L1534" s="244">
        <v>1950</v>
      </c>
      <c r="M1534" s="244">
        <f>L1534-Q1534-C1534-90</f>
        <v>-10</v>
      </c>
      <c r="N1534" s="246">
        <v>1920</v>
      </c>
      <c r="O1534" s="246">
        <f>N1534-S1534-C1534-90</f>
        <v>-19</v>
      </c>
      <c r="P1534" s="135">
        <v>70</v>
      </c>
      <c r="Q1534" s="135">
        <v>80</v>
      </c>
      <c r="R1534" s="135">
        <v>68</v>
      </c>
      <c r="S1534" s="237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37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40">
        <v>1970</v>
      </c>
      <c r="I1539" s="240">
        <f>H1539-P1539-C1539-90</f>
        <v>-5</v>
      </c>
      <c r="J1539" s="242">
        <v>2000</v>
      </c>
      <c r="K1539" s="242">
        <f>J1539-R1539-C1539-90</f>
        <v>27</v>
      </c>
      <c r="L1539" s="244">
        <v>1970</v>
      </c>
      <c r="M1539" s="244">
        <f>L1539-Q1539-C1539-90</f>
        <v>-15</v>
      </c>
      <c r="N1539" s="246">
        <v>1960</v>
      </c>
      <c r="O1539" s="246">
        <f>N1539-S1539-C1539-90</f>
        <v>-6</v>
      </c>
      <c r="P1539" s="135">
        <v>65</v>
      </c>
      <c r="Q1539" s="135">
        <v>75</v>
      </c>
      <c r="R1539" s="135">
        <v>63</v>
      </c>
      <c r="S1539" s="237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37">
        <v>59</v>
      </c>
      <c r="T1543" s="173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40">
        <v>1970</v>
      </c>
      <c r="I1544" s="240">
        <f>H1544-P1544-C1544-90</f>
        <v>2</v>
      </c>
      <c r="J1544" s="242">
        <v>1990</v>
      </c>
      <c r="K1544" s="242">
        <f>J1544-R1544-C1544-90</f>
        <v>24</v>
      </c>
      <c r="L1544" s="244">
        <v>1980</v>
      </c>
      <c r="M1544" s="244">
        <f>L1544-Q1544-C1544-90</f>
        <v>2</v>
      </c>
      <c r="N1544" s="246">
        <v>1960</v>
      </c>
      <c r="O1544" s="246">
        <f>N1544-S1544-C1544-90</f>
        <v>1</v>
      </c>
      <c r="P1544" s="135">
        <v>68</v>
      </c>
      <c r="Q1544" s="135">
        <v>78</v>
      </c>
      <c r="R1544" s="135">
        <v>66</v>
      </c>
      <c r="S1544" s="237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40">
        <v>1980</v>
      </c>
      <c r="I1545" s="240">
        <f t="shared" ref="I1545:I1551" si="0">H1545-P1545-C1545-90</f>
        <v>12</v>
      </c>
      <c r="J1545" s="242">
        <v>1990</v>
      </c>
      <c r="K1545" s="242">
        <f t="shared" ref="K1545:K1551" si="1">J1545-R1545-C1545-90</f>
        <v>24</v>
      </c>
      <c r="L1545" s="244">
        <v>1990</v>
      </c>
      <c r="M1545" s="244">
        <f t="shared" ref="M1545:M1551" si="2">L1545-Q1545-C1545-90</f>
        <v>12</v>
      </c>
      <c r="N1545" s="246">
        <v>1960</v>
      </c>
      <c r="O1545" s="246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37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40">
        <v>1990</v>
      </c>
      <c r="I1546" s="240">
        <f t="shared" si="0"/>
        <v>-18</v>
      </c>
      <c r="J1546" s="242">
        <v>1990</v>
      </c>
      <c r="K1546" s="242">
        <f t="shared" si="1"/>
        <v>-16</v>
      </c>
      <c r="L1546" s="244">
        <v>1990</v>
      </c>
      <c r="M1546" s="244">
        <f t="shared" si="2"/>
        <v>-28</v>
      </c>
      <c r="N1546" s="246">
        <v>1980</v>
      </c>
      <c r="O1546" s="246">
        <f t="shared" si="3"/>
        <v>-19</v>
      </c>
      <c r="P1546" s="135">
        <v>68</v>
      </c>
      <c r="Q1546" s="135">
        <v>78</v>
      </c>
      <c r="R1546" s="135">
        <v>66</v>
      </c>
      <c r="S1546" s="237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40">
        <v>1990</v>
      </c>
      <c r="I1547" s="240">
        <f t="shared" si="0"/>
        <v>-18</v>
      </c>
      <c r="J1547" s="242">
        <v>1990</v>
      </c>
      <c r="K1547" s="242">
        <f t="shared" si="1"/>
        <v>-16</v>
      </c>
      <c r="L1547" s="244">
        <v>1990</v>
      </c>
      <c r="M1547" s="244">
        <f t="shared" si="2"/>
        <v>-28</v>
      </c>
      <c r="N1547" s="246">
        <v>1980</v>
      </c>
      <c r="O1547" s="246">
        <f t="shared" si="3"/>
        <v>-19</v>
      </c>
      <c r="P1547" s="135">
        <v>68</v>
      </c>
      <c r="Q1547" s="135">
        <v>78</v>
      </c>
      <c r="R1547" s="135">
        <v>66</v>
      </c>
      <c r="S1547" s="237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40">
        <v>1990</v>
      </c>
      <c r="I1548" s="240">
        <f t="shared" si="0"/>
        <v>-16</v>
      </c>
      <c r="J1548" s="242">
        <v>2000</v>
      </c>
      <c r="K1548" s="242">
        <f t="shared" si="1"/>
        <v>-4</v>
      </c>
      <c r="L1548" s="244">
        <v>2000</v>
      </c>
      <c r="M1548" s="244">
        <f t="shared" si="2"/>
        <v>-16</v>
      </c>
      <c r="N1548" s="246">
        <v>1990</v>
      </c>
      <c r="O1548" s="246">
        <f t="shared" si="3"/>
        <v>-9</v>
      </c>
      <c r="P1548" s="135">
        <v>66</v>
      </c>
      <c r="Q1548" s="135">
        <v>76</v>
      </c>
      <c r="R1548" s="135">
        <v>64</v>
      </c>
      <c r="S1548" s="237">
        <v>59</v>
      </c>
      <c r="T1548" s="173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40">
        <v>1990</v>
      </c>
      <c r="I1549" s="240">
        <f t="shared" si="0"/>
        <v>-26</v>
      </c>
      <c r="J1549" s="242">
        <v>2000</v>
      </c>
      <c r="K1549" s="242">
        <f t="shared" si="1"/>
        <v>-14</v>
      </c>
      <c r="L1549" s="244">
        <v>2000</v>
      </c>
      <c r="M1549" s="244">
        <f t="shared" si="2"/>
        <v>-26</v>
      </c>
      <c r="N1549" s="246">
        <v>1990</v>
      </c>
      <c r="O1549" s="246">
        <f t="shared" si="3"/>
        <v>-19</v>
      </c>
      <c r="P1549" s="135">
        <v>66</v>
      </c>
      <c r="Q1549" s="135">
        <v>76</v>
      </c>
      <c r="R1549" s="135">
        <v>64</v>
      </c>
      <c r="S1549" s="237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40">
        <v>1990</v>
      </c>
      <c r="I1550" s="240">
        <f t="shared" si="0"/>
        <v>-26</v>
      </c>
      <c r="J1550" s="242">
        <v>2000</v>
      </c>
      <c r="K1550" s="242">
        <f t="shared" si="1"/>
        <v>-14</v>
      </c>
      <c r="L1550" s="244">
        <v>2000</v>
      </c>
      <c r="M1550" s="244">
        <f t="shared" si="2"/>
        <v>-26</v>
      </c>
      <c r="N1550" s="246">
        <v>1980</v>
      </c>
      <c r="O1550" s="246">
        <f t="shared" si="3"/>
        <v>-29</v>
      </c>
      <c r="P1550" s="135">
        <v>66</v>
      </c>
      <c r="Q1550" s="135">
        <v>76</v>
      </c>
      <c r="R1550" s="135">
        <v>64</v>
      </c>
      <c r="S1550" s="237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40">
        <v>1990</v>
      </c>
      <c r="I1551" s="240">
        <f t="shared" si="0"/>
        <v>-26</v>
      </c>
      <c r="J1551" s="242">
        <v>2000</v>
      </c>
      <c r="K1551" s="242">
        <f t="shared" si="1"/>
        <v>-14</v>
      </c>
      <c r="L1551" s="244">
        <v>2000</v>
      </c>
      <c r="M1551" s="244">
        <f t="shared" si="2"/>
        <v>-26</v>
      </c>
      <c r="N1551" s="246">
        <v>1980</v>
      </c>
      <c r="O1551" s="246">
        <f t="shared" si="3"/>
        <v>-29</v>
      </c>
      <c r="P1551" s="135">
        <v>66</v>
      </c>
      <c r="Q1551" s="135">
        <v>76</v>
      </c>
      <c r="R1551" s="135">
        <v>64</v>
      </c>
      <c r="S1551" s="237">
        <v>59</v>
      </c>
      <c r="T1551" s="173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40">
        <v>1990</v>
      </c>
      <c r="I1552" s="240">
        <f t="shared" ref="I1552" si="4">H1552-P1552-C1552-90</f>
        <v>-26</v>
      </c>
      <c r="J1552" s="242">
        <v>2000</v>
      </c>
      <c r="K1552" s="242">
        <f t="shared" ref="K1552" si="5">J1552-R1552-C1552-90</f>
        <v>-14</v>
      </c>
      <c r="L1552" s="244">
        <v>2000</v>
      </c>
      <c r="M1552" s="244">
        <f t="shared" ref="M1552" si="6">L1552-Q1552-C1552-90</f>
        <v>-26</v>
      </c>
      <c r="N1552" s="246">
        <v>1980</v>
      </c>
      <c r="O1552" s="246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37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40">
        <v>1990</v>
      </c>
      <c r="I1553" s="240">
        <f t="shared" ref="I1553" si="8">H1553-P1553-C1553-90</f>
        <v>-23</v>
      </c>
      <c r="J1553" s="242">
        <v>2000</v>
      </c>
      <c r="K1553" s="242">
        <f t="shared" ref="K1553" si="9">J1553-R1553-C1553-90</f>
        <v>-11</v>
      </c>
      <c r="L1553" s="244">
        <v>2000</v>
      </c>
      <c r="M1553" s="244">
        <f t="shared" ref="M1553" si="10">L1553-Q1553-C1553-90</f>
        <v>-23</v>
      </c>
      <c r="N1553" s="246">
        <v>1980</v>
      </c>
      <c r="O1553" s="246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37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40">
        <v>1990</v>
      </c>
      <c r="I1554" s="240">
        <f t="shared" ref="I1554" si="12">H1554-P1554-C1554-90</f>
        <v>-23</v>
      </c>
      <c r="J1554" s="242">
        <v>2000</v>
      </c>
      <c r="K1554" s="242">
        <f t="shared" ref="K1554" si="13">J1554-R1554-C1554-90</f>
        <v>-11</v>
      </c>
      <c r="L1554" s="244">
        <v>2000</v>
      </c>
      <c r="M1554" s="244">
        <f t="shared" ref="M1554" si="14">L1554-Q1554-C1554-90</f>
        <v>-23</v>
      </c>
      <c r="N1554" s="246">
        <v>1980</v>
      </c>
      <c r="O1554" s="246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37">
        <v>56</v>
      </c>
      <c r="T1554" s="173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40">
        <v>1990</v>
      </c>
      <c r="I1555" s="240">
        <f t="shared" ref="I1555" si="16">H1555-P1555-C1555-90</f>
        <v>-23</v>
      </c>
      <c r="J1555" s="242">
        <v>2010</v>
      </c>
      <c r="K1555" s="242">
        <f t="shared" ref="K1555" si="17">J1555-R1555-C1555-90</f>
        <v>-1</v>
      </c>
      <c r="L1555" s="244">
        <v>2010</v>
      </c>
      <c r="M1555" s="244">
        <f t="shared" ref="M1555" si="18">L1555-Q1555-C1555-90</f>
        <v>-13</v>
      </c>
      <c r="N1555" s="246">
        <v>1990</v>
      </c>
      <c r="O1555" s="246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37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40">
        <v>2010</v>
      </c>
      <c r="I1556" s="240">
        <f t="shared" ref="I1556" si="20">H1556-P1556-C1556-90</f>
        <v>-3</v>
      </c>
      <c r="J1556" s="242">
        <v>2010</v>
      </c>
      <c r="K1556" s="242">
        <f t="shared" ref="K1556" si="21">J1556-R1556-C1556-90</f>
        <v>-1</v>
      </c>
      <c r="L1556" s="244">
        <v>2030</v>
      </c>
      <c r="M1556" s="244">
        <f t="shared" ref="M1556" si="22">L1556-Q1556-C1556-90</f>
        <v>7</v>
      </c>
      <c r="N1556" s="246">
        <v>1990</v>
      </c>
      <c r="O1556" s="246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37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40">
        <v>2010</v>
      </c>
      <c r="I1557" s="240">
        <f t="shared" ref="I1557" si="24">H1557-P1557-C1557-90</f>
        <v>-3</v>
      </c>
      <c r="J1557" s="242">
        <v>2010</v>
      </c>
      <c r="K1557" s="242">
        <f t="shared" ref="K1557" si="25">J1557-R1557-C1557-90</f>
        <v>-1</v>
      </c>
      <c r="L1557" s="244">
        <v>2030</v>
      </c>
      <c r="M1557" s="244">
        <f t="shared" ref="M1557" si="26">L1557-Q1557-C1557-90</f>
        <v>7</v>
      </c>
      <c r="N1557" s="246">
        <v>2000</v>
      </c>
      <c r="O1557" s="246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37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40">
        <v>2020</v>
      </c>
      <c r="I1558" s="240">
        <f t="shared" ref="I1558" si="28">H1558-P1558-C1558-90</f>
        <v>12</v>
      </c>
      <c r="J1558" s="242">
        <v>2010</v>
      </c>
      <c r="K1558" s="242">
        <f t="shared" ref="K1558" si="29">J1558-R1558-C1558-90</f>
        <v>4</v>
      </c>
      <c r="L1558" s="244">
        <v>2030</v>
      </c>
      <c r="M1558" s="244">
        <f t="shared" ref="M1558" si="30">L1558-Q1558-C1558-90</f>
        <v>12</v>
      </c>
      <c r="N1558" s="246">
        <v>2000</v>
      </c>
      <c r="O1558" s="246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37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40">
        <v>2020</v>
      </c>
      <c r="I1559" s="240">
        <f t="shared" ref="I1559" si="32">H1559-P1559-C1559-90</f>
        <v>12</v>
      </c>
      <c r="J1559" s="242">
        <v>2020</v>
      </c>
      <c r="K1559" s="242">
        <f t="shared" ref="K1559" si="33">J1559-R1559-C1559-90</f>
        <v>14</v>
      </c>
      <c r="L1559" s="244">
        <v>2040</v>
      </c>
      <c r="M1559" s="244">
        <f t="shared" ref="M1559" si="34">L1559-Q1559-C1559-90</f>
        <v>22</v>
      </c>
      <c r="N1559" s="246">
        <v>2010</v>
      </c>
      <c r="O1559" s="246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37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40">
        <v>2030</v>
      </c>
      <c r="I1560" s="240">
        <f t="shared" ref="I1560" si="36">H1560-P1560-C1560-90</f>
        <v>22</v>
      </c>
      <c r="J1560" s="242">
        <v>2030</v>
      </c>
      <c r="K1560" s="242">
        <f t="shared" ref="K1560" si="37">J1560-R1560-C1560-90</f>
        <v>24</v>
      </c>
      <c r="L1560" s="244">
        <v>2040</v>
      </c>
      <c r="M1560" s="244">
        <f t="shared" ref="M1560" si="38">L1560-Q1560-C1560-90</f>
        <v>22</v>
      </c>
      <c r="N1560" s="246">
        <v>2010</v>
      </c>
      <c r="O1560" s="246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37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40">
        <v>2010</v>
      </c>
      <c r="I1561" s="240">
        <f t="shared" ref="I1561" si="40">H1561-P1561-C1561-90</f>
        <v>2</v>
      </c>
      <c r="J1561" s="242">
        <v>2020</v>
      </c>
      <c r="K1561" s="242">
        <f t="shared" ref="K1561" si="41">J1561-R1561-C1561-90</f>
        <v>14</v>
      </c>
      <c r="L1561" s="244">
        <v>2040</v>
      </c>
      <c r="M1561" s="244">
        <f t="shared" ref="M1561" si="42">L1561-Q1561-C1561-90</f>
        <v>22</v>
      </c>
      <c r="N1561" s="246">
        <v>2010</v>
      </c>
      <c r="O1561" s="246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37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40">
        <v>2010</v>
      </c>
      <c r="I1562" s="240">
        <f t="shared" ref="I1562" si="44">H1562-P1562-C1562-90</f>
        <v>2</v>
      </c>
      <c r="J1562" s="242">
        <v>2010</v>
      </c>
      <c r="K1562" s="242">
        <f t="shared" ref="K1562" si="45">J1562-R1562-C1562-90</f>
        <v>4</v>
      </c>
      <c r="L1562" s="244">
        <v>2040</v>
      </c>
      <c r="M1562" s="244">
        <f t="shared" ref="M1562" si="46">L1562-Q1562-C1562-90</f>
        <v>22</v>
      </c>
      <c r="N1562" s="246">
        <v>1990</v>
      </c>
      <c r="O1562" s="246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37">
        <v>54</v>
      </c>
      <c r="T1562" s="173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40">
        <v>2000</v>
      </c>
      <c r="I1563" s="240">
        <f t="shared" ref="I1563" si="48">H1563-P1563-C1563-90</f>
        <v>15</v>
      </c>
      <c r="J1563" s="242">
        <v>2010</v>
      </c>
      <c r="K1563" s="242">
        <f t="shared" ref="K1563" si="49">J1563-R1563-C1563-90</f>
        <v>27</v>
      </c>
      <c r="L1563" s="244">
        <v>2030</v>
      </c>
      <c r="M1563" s="244">
        <f t="shared" ref="M1563" si="50">L1563-Q1563-C1563-90</f>
        <v>35</v>
      </c>
      <c r="N1563" s="246">
        <v>1990</v>
      </c>
      <c r="O1563" s="246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37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40">
        <v>2000</v>
      </c>
      <c r="I1564" s="240">
        <f t="shared" ref="I1564" si="52">H1564-P1564-C1564-90</f>
        <v>15</v>
      </c>
      <c r="J1564" s="242">
        <v>2010</v>
      </c>
      <c r="K1564" s="242">
        <f t="shared" ref="K1564" si="53">J1564-R1564-C1564-90</f>
        <v>27</v>
      </c>
      <c r="L1564" s="244">
        <v>2030</v>
      </c>
      <c r="M1564" s="244">
        <f t="shared" ref="M1564" si="54">L1564-Q1564-C1564-90</f>
        <v>35</v>
      </c>
      <c r="N1564" s="246">
        <v>1990</v>
      </c>
      <c r="O1564" s="246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37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40">
        <v>1990</v>
      </c>
      <c r="I1565" s="240">
        <f t="shared" ref="I1565" si="56">H1565-P1565-C1565-90</f>
        <v>5</v>
      </c>
      <c r="J1565" s="242">
        <v>2010</v>
      </c>
      <c r="K1565" s="242">
        <f t="shared" ref="K1565" si="57">J1565-R1565-C1565-90</f>
        <v>27</v>
      </c>
      <c r="L1565" s="244">
        <v>2020</v>
      </c>
      <c r="M1565" s="244">
        <f t="shared" ref="M1565" si="58">L1565-Q1565-C1565-90</f>
        <v>25</v>
      </c>
      <c r="N1565" s="246">
        <v>1990</v>
      </c>
      <c r="O1565" s="246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37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40">
        <v>1990</v>
      </c>
      <c r="I1566" s="240">
        <f t="shared" ref="I1566" si="60">H1566-P1566-C1566-90</f>
        <v>5</v>
      </c>
      <c r="J1566" s="242">
        <v>2010</v>
      </c>
      <c r="K1566" s="242">
        <f t="shared" ref="K1566" si="61">J1566-R1566-C1566-90</f>
        <v>27</v>
      </c>
      <c r="L1566" s="244">
        <v>2020</v>
      </c>
      <c r="M1566" s="244">
        <f t="shared" ref="M1566" si="62">L1566-Q1566-C1566-90</f>
        <v>25</v>
      </c>
      <c r="N1566" s="246">
        <v>1990</v>
      </c>
      <c r="O1566" s="246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37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40">
        <v>1990</v>
      </c>
      <c r="I1567" s="240">
        <f t="shared" ref="I1567" si="64">H1567-P1567-C1567-90</f>
        <v>5</v>
      </c>
      <c r="J1567" s="242">
        <v>2010</v>
      </c>
      <c r="K1567" s="242">
        <f t="shared" ref="K1567" si="65">J1567-R1567-C1567-90</f>
        <v>27</v>
      </c>
      <c r="L1567" s="244">
        <v>2020</v>
      </c>
      <c r="M1567" s="244">
        <f t="shared" ref="M1567" si="66">L1567-Q1567-C1567-90</f>
        <v>25</v>
      </c>
      <c r="N1567" s="246">
        <v>1990</v>
      </c>
      <c r="O1567" s="246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37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40">
        <v>1990</v>
      </c>
      <c r="I1568" s="240">
        <f t="shared" ref="I1568" si="68">H1568-P1568-C1568-90</f>
        <v>8</v>
      </c>
      <c r="J1568" s="242">
        <v>2010</v>
      </c>
      <c r="K1568" s="242">
        <f t="shared" ref="K1568" si="69">J1568-R1568-C1568-90</f>
        <v>28</v>
      </c>
      <c r="L1568" s="244">
        <v>2020</v>
      </c>
      <c r="M1568" s="244">
        <f t="shared" ref="M1568" si="70">L1568-Q1568-C1568-90</f>
        <v>28</v>
      </c>
      <c r="N1568" s="246">
        <v>1990</v>
      </c>
      <c r="O1568" s="246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37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40">
        <v>2000</v>
      </c>
      <c r="I1569" s="240">
        <f t="shared" ref="I1569" si="72">H1569-P1569-C1569-90</f>
        <v>18</v>
      </c>
      <c r="J1569" s="242">
        <v>2010</v>
      </c>
      <c r="K1569" s="242">
        <f t="shared" ref="K1569" si="73">J1569-R1569-C1569-90</f>
        <v>28</v>
      </c>
      <c r="L1569" s="244">
        <v>2020</v>
      </c>
      <c r="M1569" s="244">
        <f t="shared" ref="M1569" si="74">L1569-Q1569-C1569-90</f>
        <v>28</v>
      </c>
      <c r="N1569" s="246">
        <v>1990</v>
      </c>
      <c r="O1569" s="246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37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40">
        <v>2000</v>
      </c>
      <c r="I1570" s="240">
        <f t="shared" ref="I1570" si="76">H1570-P1570-C1570-90</f>
        <v>-2</v>
      </c>
      <c r="J1570" s="242">
        <v>2010</v>
      </c>
      <c r="K1570" s="242">
        <f t="shared" ref="K1570" si="77">J1570-R1570-C1570-90</f>
        <v>8</v>
      </c>
      <c r="L1570" s="244">
        <v>2010</v>
      </c>
      <c r="M1570" s="244">
        <f t="shared" ref="M1570" si="78">L1570-Q1570-C1570-90</f>
        <v>-2</v>
      </c>
      <c r="N1570" s="246">
        <v>1990</v>
      </c>
      <c r="O1570" s="246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37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40">
        <v>2000</v>
      </c>
      <c r="I1571" s="240">
        <f t="shared" ref="I1571:I1572" si="80">H1571-P1571-C1571-90</f>
        <v>-2</v>
      </c>
      <c r="J1571" s="242">
        <v>2000</v>
      </c>
      <c r="K1571" s="242">
        <f t="shared" ref="K1571:K1572" si="81">J1571-R1571-C1571-90</f>
        <v>-2</v>
      </c>
      <c r="L1571" s="244">
        <v>2010</v>
      </c>
      <c r="M1571" s="244">
        <f t="shared" ref="M1571:M1572" si="82">L1571-Q1571-C1571-90</f>
        <v>-2</v>
      </c>
      <c r="N1571" s="246">
        <v>1990</v>
      </c>
      <c r="O1571" s="246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37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40">
        <v>2000</v>
      </c>
      <c r="I1572" s="240">
        <f t="shared" si="80"/>
        <v>-2</v>
      </c>
      <c r="J1572" s="242">
        <v>2000</v>
      </c>
      <c r="K1572" s="242">
        <f t="shared" si="81"/>
        <v>-2</v>
      </c>
      <c r="L1572" s="244">
        <v>2010</v>
      </c>
      <c r="M1572" s="244">
        <f t="shared" si="82"/>
        <v>-2</v>
      </c>
      <c r="N1572" s="246">
        <v>1980</v>
      </c>
      <c r="O1572" s="246">
        <f t="shared" si="83"/>
        <v>-17</v>
      </c>
      <c r="P1572" s="135">
        <v>52</v>
      </c>
      <c r="Q1572" s="135">
        <v>62</v>
      </c>
      <c r="R1572" s="135">
        <v>52</v>
      </c>
      <c r="S1572" s="237">
        <v>47</v>
      </c>
      <c r="T1572" s="173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40">
        <v>1990</v>
      </c>
      <c r="I1573" s="240">
        <f t="shared" ref="I1573" si="84">H1573-P1573-C1573-90</f>
        <v>-2</v>
      </c>
      <c r="J1573" s="242">
        <v>2000</v>
      </c>
      <c r="K1573" s="242">
        <f t="shared" ref="K1573" si="85">J1573-R1573-C1573-90</f>
        <v>10</v>
      </c>
      <c r="L1573" s="244">
        <v>2000</v>
      </c>
      <c r="M1573" s="244">
        <f t="shared" ref="M1573" si="86">L1573-Q1573-C1573-90</f>
        <v>-2</v>
      </c>
      <c r="N1573" s="246">
        <v>1980</v>
      </c>
      <c r="O1573" s="246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37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40">
        <v>1970</v>
      </c>
      <c r="I1574" s="240">
        <f t="shared" ref="I1574" si="88">H1574-P1574-C1574-90</f>
        <v>-22</v>
      </c>
      <c r="J1574" s="242">
        <v>1990</v>
      </c>
      <c r="K1574" s="242">
        <f t="shared" ref="K1574" si="89">J1574-R1574-C1574-90</f>
        <v>0</v>
      </c>
      <c r="L1574" s="244">
        <v>1990</v>
      </c>
      <c r="M1574" s="244">
        <f t="shared" ref="M1574" si="90">L1574-Q1574-C1574-90</f>
        <v>-12</v>
      </c>
      <c r="N1574" s="246">
        <v>1980</v>
      </c>
      <c r="O1574" s="246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37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40">
        <v>1950</v>
      </c>
      <c r="I1575" s="240">
        <f t="shared" ref="I1575" si="92">H1575-P1575-C1575-90</f>
        <v>-12</v>
      </c>
      <c r="J1575" s="242">
        <v>1980</v>
      </c>
      <c r="K1575" s="242">
        <f t="shared" ref="K1575" si="93">J1575-R1575-C1575-90</f>
        <v>20</v>
      </c>
      <c r="L1575" s="244">
        <v>1990</v>
      </c>
      <c r="M1575" s="244">
        <f t="shared" ref="M1575" si="94">L1575-Q1575-C1575-90</f>
        <v>18</v>
      </c>
      <c r="N1575" s="246">
        <v>1960</v>
      </c>
      <c r="O1575" s="246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37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40">
        <v>1950</v>
      </c>
      <c r="I1576" s="240">
        <f t="shared" ref="I1576" si="96">H1576-P1576-C1576-90</f>
        <v>-12</v>
      </c>
      <c r="J1576" s="242">
        <v>1980</v>
      </c>
      <c r="K1576" s="242">
        <f t="shared" ref="K1576" si="97">J1576-R1576-C1576-90</f>
        <v>20</v>
      </c>
      <c r="L1576" s="244">
        <v>1980</v>
      </c>
      <c r="M1576" s="244">
        <f t="shared" ref="M1576" si="98">L1576-Q1576-C1576-90</f>
        <v>8</v>
      </c>
      <c r="N1576" s="246">
        <v>1960</v>
      </c>
      <c r="O1576" s="246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37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40">
        <v>1950</v>
      </c>
      <c r="I1577" s="240">
        <f t="shared" ref="I1577" si="100">H1577-P1577-C1577-90</f>
        <v>-12</v>
      </c>
      <c r="J1577" s="242">
        <v>1970</v>
      </c>
      <c r="K1577" s="242">
        <f t="shared" ref="K1577" si="101">J1577-R1577-C1577-90</f>
        <v>10</v>
      </c>
      <c r="L1577" s="244">
        <v>1980</v>
      </c>
      <c r="M1577" s="244">
        <f t="shared" ref="M1577" si="102">L1577-Q1577-C1577-90</f>
        <v>8</v>
      </c>
      <c r="N1577" s="246">
        <v>1960</v>
      </c>
      <c r="O1577" s="246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37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40">
        <v>1950</v>
      </c>
      <c r="I1578" s="240">
        <f t="shared" ref="I1578" si="104">H1578-P1578-C1578-90</f>
        <v>-12</v>
      </c>
      <c r="J1578" s="242">
        <v>1980</v>
      </c>
      <c r="K1578" s="242">
        <f t="shared" ref="K1578" si="105">J1578-R1578-C1578-90</f>
        <v>20</v>
      </c>
      <c r="L1578" s="244">
        <v>1980</v>
      </c>
      <c r="M1578" s="244">
        <f t="shared" ref="M1578" si="106">L1578-Q1578-C1578-90</f>
        <v>8</v>
      </c>
      <c r="N1578" s="246">
        <v>1950</v>
      </c>
      <c r="O1578" s="246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37">
        <v>47</v>
      </c>
      <c r="T1578" s="173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40">
        <v>1950</v>
      </c>
      <c r="I1579" s="240">
        <f t="shared" ref="I1579" si="108">H1579-P1579-C1579-90</f>
        <v>-12</v>
      </c>
      <c r="J1579" s="242">
        <v>1980</v>
      </c>
      <c r="K1579" s="242">
        <f t="shared" ref="K1579" si="109">J1579-R1579-C1579-90</f>
        <v>20</v>
      </c>
      <c r="L1579" s="244">
        <v>1970</v>
      </c>
      <c r="M1579" s="244">
        <f t="shared" ref="M1579" si="110">L1579-Q1579-C1579-90</f>
        <v>-2</v>
      </c>
      <c r="N1579" s="246">
        <v>1960</v>
      </c>
      <c r="O1579" s="246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37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40">
        <v>1960</v>
      </c>
      <c r="I1580" s="240">
        <f t="shared" ref="I1580:I1585" si="112">H1580-P1580-B1580-90</f>
        <v>-22</v>
      </c>
      <c r="J1580" s="242">
        <v>1980</v>
      </c>
      <c r="K1580" s="242">
        <f t="shared" ref="K1580:K1585" si="113">J1580-R1580-B1580-90</f>
        <v>0</v>
      </c>
      <c r="L1580" s="244">
        <v>1970</v>
      </c>
      <c r="M1580" s="244">
        <f t="shared" ref="M1580:M1585" si="114">L1580-Q1580-B1580-90</f>
        <v>-22</v>
      </c>
      <c r="N1580" s="246">
        <v>1970</v>
      </c>
      <c r="O1580" s="246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37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40">
        <v>1960</v>
      </c>
      <c r="I1581" s="240">
        <f t="shared" si="112"/>
        <v>-22</v>
      </c>
      <c r="J1581" s="242">
        <v>1980</v>
      </c>
      <c r="K1581" s="242">
        <f t="shared" si="113"/>
        <v>0</v>
      </c>
      <c r="L1581" s="244">
        <v>1970</v>
      </c>
      <c r="M1581" s="244">
        <f t="shared" si="114"/>
        <v>-22</v>
      </c>
      <c r="N1581" s="246">
        <v>1960</v>
      </c>
      <c r="O1581" s="246">
        <f t="shared" si="115"/>
        <v>-17</v>
      </c>
      <c r="P1581" s="135">
        <v>52</v>
      </c>
      <c r="Q1581" s="135">
        <v>62</v>
      </c>
      <c r="R1581" s="135">
        <v>50</v>
      </c>
      <c r="S1581" s="237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40">
        <v>1990</v>
      </c>
      <c r="I1582" s="240">
        <f t="shared" si="112"/>
        <v>-2</v>
      </c>
      <c r="J1582" s="242">
        <v>2000</v>
      </c>
      <c r="K1582" s="242">
        <f t="shared" si="113"/>
        <v>10</v>
      </c>
      <c r="L1582" s="244">
        <v>1990</v>
      </c>
      <c r="M1582" s="244">
        <f t="shared" si="114"/>
        <v>-12</v>
      </c>
      <c r="N1582" s="246">
        <v>1980</v>
      </c>
      <c r="O1582" s="246">
        <f t="shared" si="115"/>
        <v>-7</v>
      </c>
      <c r="P1582" s="135">
        <v>52</v>
      </c>
      <c r="Q1582" s="135">
        <v>62</v>
      </c>
      <c r="R1582" s="135">
        <v>50</v>
      </c>
      <c r="S1582" s="237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40">
        <v>1990</v>
      </c>
      <c r="I1583" s="240">
        <f t="shared" si="112"/>
        <v>-2</v>
      </c>
      <c r="J1583" s="242">
        <v>2000</v>
      </c>
      <c r="K1583" s="242">
        <f t="shared" si="113"/>
        <v>10</v>
      </c>
      <c r="L1583" s="244">
        <v>1990</v>
      </c>
      <c r="M1583" s="244">
        <f t="shared" si="114"/>
        <v>-12</v>
      </c>
      <c r="N1583" s="246">
        <v>1980</v>
      </c>
      <c r="O1583" s="246">
        <f t="shared" si="115"/>
        <v>-7</v>
      </c>
      <c r="P1583" s="135">
        <v>52</v>
      </c>
      <c r="Q1583" s="135">
        <v>62</v>
      </c>
      <c r="R1583" s="135">
        <v>50</v>
      </c>
      <c r="S1583" s="237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40">
        <v>1990</v>
      </c>
      <c r="I1584" s="240">
        <f t="shared" si="112"/>
        <v>8</v>
      </c>
      <c r="J1584" s="242">
        <v>2000</v>
      </c>
      <c r="K1584" s="242">
        <f t="shared" si="113"/>
        <v>20</v>
      </c>
      <c r="L1584" s="244">
        <v>1990</v>
      </c>
      <c r="M1584" s="244">
        <f t="shared" si="114"/>
        <v>-2</v>
      </c>
      <c r="N1584" s="246">
        <v>1970</v>
      </c>
      <c r="O1584" s="246">
        <f t="shared" si="115"/>
        <v>-7</v>
      </c>
      <c r="P1584" s="135">
        <v>52</v>
      </c>
      <c r="Q1584" s="135">
        <v>62</v>
      </c>
      <c r="R1584" s="135">
        <v>50</v>
      </c>
      <c r="S1584" s="237">
        <v>47</v>
      </c>
      <c r="T1584" s="173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40">
        <v>1990</v>
      </c>
      <c r="I1585" s="240">
        <f t="shared" si="112"/>
        <v>8</v>
      </c>
      <c r="J1585" s="242">
        <v>2000</v>
      </c>
      <c r="K1585" s="242">
        <f t="shared" si="113"/>
        <v>20</v>
      </c>
      <c r="L1585" s="244">
        <v>2010</v>
      </c>
      <c r="M1585" s="244">
        <f t="shared" si="114"/>
        <v>18</v>
      </c>
      <c r="N1585" s="246">
        <v>1970</v>
      </c>
      <c r="O1585" s="246">
        <f t="shared" si="115"/>
        <v>-7</v>
      </c>
      <c r="P1585" s="135">
        <v>52</v>
      </c>
      <c r="Q1585" s="135">
        <v>62</v>
      </c>
      <c r="R1585" s="135">
        <v>50</v>
      </c>
      <c r="S1585" s="237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40">
        <v>1990</v>
      </c>
      <c r="I1586" s="240">
        <f t="shared" ref="I1586" si="116">H1586-P1586-B1586-90</f>
        <v>18</v>
      </c>
      <c r="J1586" s="242">
        <v>2000</v>
      </c>
      <c r="K1586" s="242">
        <f t="shared" ref="K1586" si="117">J1586-R1586-B1586-90</f>
        <v>30</v>
      </c>
      <c r="L1586" s="244">
        <v>2010</v>
      </c>
      <c r="M1586" s="244">
        <f t="shared" ref="M1586" si="118">L1586-Q1586-B1586-90</f>
        <v>28</v>
      </c>
      <c r="N1586" s="246">
        <v>1970</v>
      </c>
      <c r="O1586" s="246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37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134">
        <v>1830</v>
      </c>
      <c r="D1587" s="134">
        <v>1830</v>
      </c>
      <c r="F1587" s="134">
        <v>1960</v>
      </c>
      <c r="G1587" s="134">
        <v>1985</v>
      </c>
      <c r="H1587" s="240">
        <v>1980</v>
      </c>
      <c r="I1587" s="240">
        <f t="shared" ref="I1587" si="120">H1587-P1587-B1587-90</f>
        <v>8</v>
      </c>
      <c r="J1587" s="242">
        <v>2000</v>
      </c>
      <c r="K1587" s="242">
        <f t="shared" ref="K1587" si="121">J1587-R1587-B1587-90</f>
        <v>30</v>
      </c>
      <c r="L1587" s="244">
        <v>2010</v>
      </c>
      <c r="M1587" s="244">
        <f t="shared" ref="M1587" si="122">L1587-Q1587-B1587-90</f>
        <v>28</v>
      </c>
      <c r="N1587" s="246">
        <v>1970</v>
      </c>
      <c r="O1587" s="246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37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134">
        <v>1820</v>
      </c>
      <c r="D1588" s="134">
        <v>1815</v>
      </c>
      <c r="G1588" s="134">
        <v>1985</v>
      </c>
      <c r="H1588" s="240">
        <v>1980</v>
      </c>
      <c r="I1588" s="240">
        <f t="shared" ref="I1588" si="124">H1588-P1588-B1588-90</f>
        <v>18</v>
      </c>
      <c r="J1588" s="242">
        <v>2000</v>
      </c>
      <c r="K1588" s="242">
        <f t="shared" ref="K1588" si="125">J1588-R1588-B1588-90</f>
        <v>40</v>
      </c>
      <c r="L1588" s="244">
        <v>2000</v>
      </c>
      <c r="M1588" s="244">
        <f t="shared" ref="M1588" si="126">L1588-Q1588-B1588-90</f>
        <v>28</v>
      </c>
      <c r="N1588" s="246">
        <v>1960</v>
      </c>
      <c r="O1588" s="246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37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134">
        <v>1815</v>
      </c>
      <c r="D1589" s="134">
        <v>1815</v>
      </c>
      <c r="G1589" s="134">
        <v>1970</v>
      </c>
      <c r="H1589" s="240">
        <v>1970</v>
      </c>
      <c r="I1589" s="240">
        <f t="shared" ref="I1589" si="128">H1589-P1589-B1589-90</f>
        <v>13</v>
      </c>
      <c r="J1589" s="242">
        <v>1990</v>
      </c>
      <c r="K1589" s="242">
        <f t="shared" ref="K1589" si="129">J1589-R1589-B1589-90</f>
        <v>35</v>
      </c>
      <c r="L1589" s="244">
        <v>1990</v>
      </c>
      <c r="M1589" s="244">
        <f t="shared" ref="M1589" si="130">L1589-Q1589-B1589-90</f>
        <v>23</v>
      </c>
      <c r="N1589" s="246">
        <v>1960</v>
      </c>
      <c r="O1589" s="246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37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134">
        <v>1815</v>
      </c>
      <c r="D1590" s="134">
        <v>1815</v>
      </c>
      <c r="G1590" s="134">
        <v>1970</v>
      </c>
      <c r="H1590" s="240">
        <v>1970</v>
      </c>
      <c r="I1590" s="240">
        <f t="shared" ref="I1590" si="132">H1590-P1590-B1590-90</f>
        <v>13</v>
      </c>
      <c r="J1590" s="242">
        <v>1990</v>
      </c>
      <c r="K1590" s="242">
        <f t="shared" ref="K1590" si="133">J1590-R1590-B1590-90</f>
        <v>35</v>
      </c>
      <c r="L1590" s="244">
        <v>1980</v>
      </c>
      <c r="M1590" s="244">
        <f t="shared" ref="M1590" si="134">L1590-Q1590-B1590-90</f>
        <v>13</v>
      </c>
      <c r="N1590" s="246">
        <v>1960</v>
      </c>
      <c r="O1590" s="246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37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134">
        <v>1820</v>
      </c>
      <c r="D1591" s="134">
        <v>1820</v>
      </c>
      <c r="G1591" s="134">
        <v>1970</v>
      </c>
      <c r="H1591" s="240">
        <v>1970</v>
      </c>
      <c r="I1591" s="240">
        <f t="shared" ref="I1591" si="136">H1591-P1591-B1591-90</f>
        <v>11</v>
      </c>
      <c r="J1591" s="242">
        <v>1990</v>
      </c>
      <c r="K1591" s="242">
        <f t="shared" ref="K1591" si="137">J1591-R1591-B1591-90</f>
        <v>33</v>
      </c>
      <c r="L1591" s="244">
        <v>1980</v>
      </c>
      <c r="M1591" s="244">
        <f t="shared" ref="M1591" si="138">L1591-Q1591-B1591-90</f>
        <v>11</v>
      </c>
      <c r="N1591" s="246">
        <v>1940</v>
      </c>
      <c r="O1591" s="246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37">
        <v>39</v>
      </c>
      <c r="T1591" s="173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134">
        <v>1815</v>
      </c>
      <c r="D1592" s="134">
        <v>1820</v>
      </c>
      <c r="G1592" s="134">
        <v>1970</v>
      </c>
      <c r="H1592" s="240">
        <v>1970</v>
      </c>
      <c r="I1592" s="240">
        <f t="shared" ref="I1592" si="140">H1592-P1592-B1592-90</f>
        <v>16</v>
      </c>
      <c r="J1592" s="242">
        <v>1990</v>
      </c>
      <c r="K1592" s="242">
        <f t="shared" ref="K1592" si="141">J1592-R1592-B1592-90</f>
        <v>38</v>
      </c>
      <c r="L1592" s="244">
        <v>1980</v>
      </c>
      <c r="M1592" s="244">
        <f t="shared" ref="M1592" si="142">L1592-Q1592-B1592-90</f>
        <v>16</v>
      </c>
      <c r="N1592" s="246">
        <v>1940</v>
      </c>
      <c r="O1592" s="246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37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134">
        <v>1820</v>
      </c>
      <c r="D1593" s="134">
        <v>1815</v>
      </c>
      <c r="G1593" s="134">
        <v>1970</v>
      </c>
      <c r="H1593" s="240">
        <v>1970</v>
      </c>
      <c r="I1593" s="240">
        <f t="shared" ref="I1593" si="144">H1593-P1593-B1593-90</f>
        <v>11</v>
      </c>
      <c r="J1593" s="242">
        <v>1990</v>
      </c>
      <c r="K1593" s="242">
        <f t="shared" ref="K1593" si="145">J1593-R1593-B1593-90</f>
        <v>33</v>
      </c>
      <c r="L1593" s="244">
        <v>1980</v>
      </c>
      <c r="M1593" s="244">
        <f t="shared" ref="M1593" si="146">L1593-Q1593-B1593-90</f>
        <v>11</v>
      </c>
      <c r="N1593" s="246">
        <v>1940</v>
      </c>
      <c r="O1593" s="246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37">
        <v>39</v>
      </c>
      <c r="T1593" s="173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134">
        <v>1820</v>
      </c>
      <c r="D1594" s="134">
        <v>1815</v>
      </c>
      <c r="G1594" s="134">
        <v>1970</v>
      </c>
      <c r="H1594" s="240">
        <v>1970</v>
      </c>
      <c r="I1594" s="240">
        <f t="shared" ref="I1594" si="148">H1594-P1594-B1594-90</f>
        <v>11</v>
      </c>
      <c r="J1594" s="242">
        <v>1980</v>
      </c>
      <c r="K1594" s="242">
        <f t="shared" ref="K1594" si="149">J1594-R1594-B1594-90</f>
        <v>23</v>
      </c>
      <c r="L1594" s="244">
        <v>1970</v>
      </c>
      <c r="M1594" s="244">
        <f t="shared" ref="M1594" si="150">L1594-Q1594-B1594-90</f>
        <v>1</v>
      </c>
      <c r="N1594" s="246">
        <v>1940</v>
      </c>
      <c r="O1594" s="246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37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134">
        <v>1820</v>
      </c>
      <c r="D1595" s="134">
        <v>1815</v>
      </c>
      <c r="G1595" s="134">
        <v>1970</v>
      </c>
      <c r="H1595" s="240">
        <v>1970</v>
      </c>
      <c r="I1595" s="240">
        <f t="shared" ref="I1595" si="152">H1595-P1595-B1595-90</f>
        <v>11</v>
      </c>
      <c r="J1595" s="242">
        <v>1980</v>
      </c>
      <c r="K1595" s="242">
        <f t="shared" ref="K1595" si="153">J1595-R1595-B1595-90</f>
        <v>23</v>
      </c>
      <c r="L1595" s="244">
        <v>1970</v>
      </c>
      <c r="M1595" s="244">
        <f t="shared" ref="M1595" si="154">L1595-Q1595-B1595-90</f>
        <v>1</v>
      </c>
      <c r="N1595" s="246">
        <v>1940</v>
      </c>
      <c r="O1595" s="246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37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134">
        <v>1820</v>
      </c>
      <c r="D1596" s="134">
        <v>1815</v>
      </c>
      <c r="G1596" s="134">
        <v>1970</v>
      </c>
      <c r="H1596" s="240">
        <v>1970</v>
      </c>
      <c r="I1596" s="240">
        <f t="shared" ref="I1596" si="156">H1596-P1596-B1596-90</f>
        <v>20</v>
      </c>
      <c r="J1596" s="242">
        <v>1980</v>
      </c>
      <c r="K1596" s="242">
        <f t="shared" ref="K1596" si="157">J1596-R1596-B1596-90</f>
        <v>32</v>
      </c>
      <c r="L1596" s="244">
        <v>1970</v>
      </c>
      <c r="M1596" s="244">
        <f t="shared" ref="M1596" si="158">L1596-Q1596-B1596-90</f>
        <v>10</v>
      </c>
      <c r="N1596" s="246">
        <v>1940</v>
      </c>
      <c r="O1596" s="246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37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134">
        <v>1820</v>
      </c>
      <c r="D1597" s="134">
        <v>1820</v>
      </c>
      <c r="G1597" s="134">
        <v>1970</v>
      </c>
      <c r="H1597" s="240">
        <v>1970</v>
      </c>
      <c r="I1597" s="240">
        <f t="shared" ref="I1597" si="160">H1597-P1597-B1597-90</f>
        <v>20</v>
      </c>
      <c r="J1597" s="242">
        <v>1980</v>
      </c>
      <c r="K1597" s="242">
        <f t="shared" ref="K1597" si="161">J1597-R1597-B1597-90</f>
        <v>32</v>
      </c>
      <c r="L1597" s="244">
        <v>1970</v>
      </c>
      <c r="M1597" s="244">
        <f t="shared" ref="M1597" si="162">L1597-Q1597-B1597-90</f>
        <v>10</v>
      </c>
      <c r="N1597" s="246">
        <v>1940</v>
      </c>
      <c r="O1597" s="246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37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134">
        <v>1820</v>
      </c>
      <c r="D1598" s="134">
        <v>1815</v>
      </c>
      <c r="G1598" s="134">
        <v>1970</v>
      </c>
      <c r="H1598" s="240">
        <v>1970</v>
      </c>
      <c r="I1598" s="240">
        <f t="shared" ref="I1598" si="164">H1598-P1598-B1598-90</f>
        <v>20</v>
      </c>
      <c r="J1598" s="242">
        <v>1980</v>
      </c>
      <c r="K1598" s="242">
        <f t="shared" ref="K1598" si="165">J1598-R1598-B1598-90</f>
        <v>32</v>
      </c>
      <c r="L1598" s="244">
        <v>1970</v>
      </c>
      <c r="M1598" s="244">
        <f t="shared" ref="M1598" si="166">L1598-Q1598-B1598-90</f>
        <v>10</v>
      </c>
      <c r="N1598" s="246">
        <v>1940</v>
      </c>
      <c r="O1598" s="246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37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134">
        <v>1820</v>
      </c>
      <c r="D1599" s="134">
        <v>1815</v>
      </c>
      <c r="G1599" s="134">
        <v>1970</v>
      </c>
      <c r="H1599" s="240">
        <v>1970</v>
      </c>
      <c r="I1599" s="240">
        <f t="shared" ref="I1599" si="168">H1599-P1599-B1599-90</f>
        <v>20</v>
      </c>
      <c r="J1599" s="242">
        <v>1980</v>
      </c>
      <c r="K1599" s="242">
        <f t="shared" ref="K1599" si="169">J1599-R1599-B1599-90</f>
        <v>32</v>
      </c>
      <c r="L1599" s="244">
        <v>1970</v>
      </c>
      <c r="M1599" s="244">
        <f t="shared" ref="M1599" si="170">L1599-Q1599-B1599-90</f>
        <v>10</v>
      </c>
      <c r="N1599" s="246">
        <v>1940</v>
      </c>
      <c r="O1599" s="246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37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134">
        <v>1820</v>
      </c>
      <c r="D1600" s="134">
        <v>1815</v>
      </c>
      <c r="G1600" s="134">
        <v>1970</v>
      </c>
      <c r="H1600" s="240">
        <v>1970</v>
      </c>
      <c r="I1600" s="240">
        <f t="shared" ref="I1600" si="172">H1600-P1600-B1600-90</f>
        <v>20</v>
      </c>
      <c r="J1600" s="242">
        <v>1980</v>
      </c>
      <c r="K1600" s="242">
        <f t="shared" ref="K1600" si="173">J1600-R1600-B1600-90</f>
        <v>32</v>
      </c>
      <c r="L1600" s="244">
        <v>1970</v>
      </c>
      <c r="M1600" s="244">
        <f t="shared" ref="M1600" si="174">L1600-Q1600-B1600-90</f>
        <v>10</v>
      </c>
      <c r="N1600" s="246">
        <v>1940</v>
      </c>
      <c r="O1600" s="246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37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134">
        <v>1820</v>
      </c>
      <c r="D1601" s="134">
        <v>1815</v>
      </c>
      <c r="G1601" s="134">
        <v>1970</v>
      </c>
      <c r="H1601" s="240">
        <v>1970</v>
      </c>
      <c r="I1601" s="240">
        <f t="shared" ref="I1601" si="176">H1601-P1601-B1601-90</f>
        <v>20</v>
      </c>
      <c r="J1601" s="242">
        <v>1980</v>
      </c>
      <c r="K1601" s="242">
        <f t="shared" ref="K1601" si="177">J1601-R1601-B1601-90</f>
        <v>32</v>
      </c>
      <c r="L1601" s="244">
        <v>1970</v>
      </c>
      <c r="M1601" s="244">
        <f t="shared" ref="M1601" si="178">L1601-Q1601-B1601-90</f>
        <v>10</v>
      </c>
      <c r="N1601" s="246">
        <v>1940</v>
      </c>
      <c r="O1601" s="246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37">
        <v>37</v>
      </c>
      <c r="T1601" s="173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134">
        <v>1820</v>
      </c>
      <c r="D1602" s="134">
        <v>1815</v>
      </c>
      <c r="G1602" s="134">
        <v>1970</v>
      </c>
      <c r="H1602" s="240">
        <v>1970</v>
      </c>
      <c r="I1602" s="240">
        <f t="shared" ref="I1602" si="180">H1602-P1602-B1602-90</f>
        <v>20</v>
      </c>
      <c r="J1602" s="242">
        <v>1980</v>
      </c>
      <c r="K1602" s="242">
        <f t="shared" ref="K1602" si="181">J1602-R1602-B1602-90</f>
        <v>32</v>
      </c>
      <c r="L1602" s="244">
        <v>1970</v>
      </c>
      <c r="M1602" s="244">
        <f t="shared" ref="M1602" si="182">L1602-Q1602-B1602-90</f>
        <v>10</v>
      </c>
      <c r="N1602" s="246">
        <v>1940</v>
      </c>
      <c r="O1602" s="246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37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134">
        <v>1820</v>
      </c>
      <c r="D1603" s="134">
        <v>1810</v>
      </c>
      <c r="G1603" s="134">
        <v>1970</v>
      </c>
      <c r="H1603" s="240">
        <v>1970</v>
      </c>
      <c r="I1603" s="240">
        <f t="shared" ref="I1603" si="184">H1603-P1603-B1603-90</f>
        <v>20</v>
      </c>
      <c r="J1603" s="242">
        <v>1990</v>
      </c>
      <c r="K1603" s="242">
        <f t="shared" ref="K1603" si="185">J1603-R1603-B1603-90</f>
        <v>42</v>
      </c>
      <c r="L1603" s="244">
        <v>1970</v>
      </c>
      <c r="M1603" s="244">
        <f t="shared" ref="M1603" si="186">L1603-Q1603-B1603-90</f>
        <v>10</v>
      </c>
      <c r="N1603" s="246">
        <v>1940</v>
      </c>
      <c r="O1603" s="246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37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134">
        <v>1820</v>
      </c>
      <c r="D1604" s="134">
        <v>1810</v>
      </c>
      <c r="G1604" s="134">
        <v>1970</v>
      </c>
      <c r="H1604" s="240">
        <v>1970</v>
      </c>
      <c r="I1604" s="240">
        <f t="shared" ref="I1604" si="188">H1604-P1604-B1604-90</f>
        <v>20</v>
      </c>
      <c r="J1604" s="242">
        <v>1990</v>
      </c>
      <c r="K1604" s="242">
        <f t="shared" ref="K1604" si="189">J1604-R1604-B1604-90</f>
        <v>42</v>
      </c>
      <c r="L1604" s="244">
        <v>1970</v>
      </c>
      <c r="M1604" s="244">
        <f t="shared" ref="M1604" si="190">L1604-Q1604-B1604-90</f>
        <v>10</v>
      </c>
      <c r="N1604" s="246">
        <v>1940</v>
      </c>
      <c r="O1604" s="246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37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134">
        <v>1810</v>
      </c>
      <c r="D1605" s="134">
        <v>1800</v>
      </c>
      <c r="G1605" s="134">
        <v>1970</v>
      </c>
      <c r="H1605" s="240">
        <v>1970</v>
      </c>
      <c r="I1605" s="240">
        <f t="shared" ref="I1605" si="192">H1605-P1605-B1605-90</f>
        <v>30</v>
      </c>
      <c r="J1605" s="242">
        <v>1990</v>
      </c>
      <c r="K1605" s="242">
        <f t="shared" ref="K1605" si="193">J1605-R1605-B1605-90</f>
        <v>52</v>
      </c>
      <c r="L1605" s="244">
        <v>1970</v>
      </c>
      <c r="M1605" s="244">
        <f t="shared" ref="M1605:M1606" si="194">L1605-Q1605-B1605-90</f>
        <v>20</v>
      </c>
      <c r="N1605" s="246">
        <v>1940</v>
      </c>
      <c r="O1605" s="246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37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134">
        <v>1800</v>
      </c>
      <c r="D1606" s="134">
        <v>1790</v>
      </c>
      <c r="G1606" s="134">
        <v>1960</v>
      </c>
      <c r="H1606" s="240">
        <v>1960</v>
      </c>
      <c r="I1606" s="240">
        <f t="shared" ref="I1606" si="196">H1606-P1606-B1606-90</f>
        <v>30</v>
      </c>
      <c r="J1606" s="242">
        <v>1980</v>
      </c>
      <c r="K1606" s="242">
        <f t="shared" ref="K1606" si="197">J1606-R1606-B1606-90</f>
        <v>52</v>
      </c>
      <c r="L1606" s="244">
        <v>1970</v>
      </c>
      <c r="M1606" s="244">
        <f t="shared" si="194"/>
        <v>30</v>
      </c>
      <c r="N1606" s="246">
        <v>1940</v>
      </c>
      <c r="O1606" s="246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37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134">
        <v>1790</v>
      </c>
      <c r="D1607" s="134">
        <v>1780</v>
      </c>
      <c r="G1607" s="134">
        <v>1950</v>
      </c>
      <c r="H1607" s="240">
        <v>1950</v>
      </c>
      <c r="I1607" s="240">
        <f t="shared" ref="I1607" si="199">H1607-P1607-B1607-90</f>
        <v>30</v>
      </c>
      <c r="J1607" s="242">
        <v>1970</v>
      </c>
      <c r="K1607" s="242">
        <f t="shared" ref="K1607" si="200">J1607-R1607-B1607-90</f>
        <v>52</v>
      </c>
      <c r="L1607" s="244">
        <v>1950</v>
      </c>
      <c r="M1607" s="244">
        <f t="shared" ref="M1607" si="201">L1607-Q1607-B1607-90</f>
        <v>20</v>
      </c>
      <c r="N1607" s="246">
        <v>1920</v>
      </c>
      <c r="O1607" s="246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37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134">
        <v>1790</v>
      </c>
      <c r="D1608" s="134">
        <v>1780</v>
      </c>
      <c r="G1608" s="134">
        <v>1940</v>
      </c>
      <c r="H1608" s="240">
        <v>1940</v>
      </c>
      <c r="I1608" s="240">
        <f t="shared" ref="I1608" si="203">H1608-P1608-B1608-90</f>
        <v>20</v>
      </c>
      <c r="J1608" s="242">
        <v>1970</v>
      </c>
      <c r="K1608" s="242">
        <f t="shared" ref="K1608" si="204">J1608-R1608-B1608-90</f>
        <v>52</v>
      </c>
      <c r="L1608" s="244">
        <v>1940</v>
      </c>
      <c r="M1608" s="244">
        <f t="shared" ref="M1608" si="205">L1608-Q1608-B1608-90</f>
        <v>10</v>
      </c>
      <c r="N1608" s="246">
        <v>1920</v>
      </c>
      <c r="O1608" s="246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37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134">
        <v>1780</v>
      </c>
      <c r="D1609" s="134">
        <v>1780</v>
      </c>
      <c r="G1609" s="134">
        <v>1930</v>
      </c>
      <c r="H1609" s="240">
        <v>1930</v>
      </c>
      <c r="I1609" s="240">
        <f t="shared" ref="I1609" si="207">H1609-P1609-B1609-90</f>
        <v>22</v>
      </c>
      <c r="J1609" s="242">
        <v>1960</v>
      </c>
      <c r="K1609" s="242">
        <f t="shared" ref="K1609" si="208">J1609-R1609-B1609-90</f>
        <v>54</v>
      </c>
      <c r="L1609" s="244">
        <v>1940</v>
      </c>
      <c r="M1609" s="244">
        <f t="shared" ref="M1609" si="209">L1609-Q1609-B1609-90</f>
        <v>22</v>
      </c>
      <c r="N1609" s="246">
        <v>1910</v>
      </c>
      <c r="O1609" s="246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37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134">
        <v>1780</v>
      </c>
      <c r="D1610" s="134">
        <v>1780</v>
      </c>
      <c r="G1610" s="134">
        <v>1920</v>
      </c>
      <c r="H1610" s="240">
        <v>1920</v>
      </c>
      <c r="I1610" s="240">
        <f t="shared" ref="I1610" si="211">H1610-P1610-B1610-90</f>
        <v>12</v>
      </c>
      <c r="J1610" s="242">
        <v>1950</v>
      </c>
      <c r="K1610" s="242">
        <f t="shared" ref="K1610" si="212">J1610-R1610-B1610-90</f>
        <v>44</v>
      </c>
      <c r="L1610" s="244">
        <v>1930</v>
      </c>
      <c r="M1610" s="244">
        <f t="shared" ref="M1610" si="213">L1610-Q1610-B1610-90</f>
        <v>12</v>
      </c>
      <c r="N1610" s="246">
        <v>1910</v>
      </c>
      <c r="O1610" s="246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37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134">
        <v>1780</v>
      </c>
      <c r="D1611" s="134">
        <v>1780</v>
      </c>
      <c r="G1611" s="134">
        <v>1920</v>
      </c>
      <c r="H1611" s="240">
        <v>1920</v>
      </c>
      <c r="I1611" s="240">
        <f t="shared" ref="I1611" si="215">H1611-P1611-B1611-90</f>
        <v>12</v>
      </c>
      <c r="J1611" s="242">
        <v>1950</v>
      </c>
      <c r="K1611" s="242">
        <f t="shared" ref="K1611" si="216">J1611-R1611-B1611-90</f>
        <v>44</v>
      </c>
      <c r="L1611" s="244">
        <v>1930</v>
      </c>
      <c r="M1611" s="244">
        <f t="shared" ref="M1611" si="217">L1611-Q1611-B1611-90</f>
        <v>12</v>
      </c>
      <c r="N1611" s="246">
        <v>1890</v>
      </c>
      <c r="O1611" s="246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37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134">
        <v>1750</v>
      </c>
      <c r="D1612" s="134">
        <v>1730</v>
      </c>
      <c r="G1612" s="134">
        <v>1890</v>
      </c>
      <c r="H1612" s="240">
        <v>1890</v>
      </c>
      <c r="I1612" s="240">
        <f t="shared" ref="I1612" si="219">H1612-P1612-B1612-90</f>
        <v>12</v>
      </c>
      <c r="J1612" s="242">
        <v>1920</v>
      </c>
      <c r="K1612" s="242">
        <f t="shared" ref="K1612" si="220">J1612-R1612-B1612-90</f>
        <v>44</v>
      </c>
      <c r="L1612" s="244">
        <v>1910</v>
      </c>
      <c r="M1612" s="244">
        <f t="shared" ref="M1612" si="221">L1612-Q1612-B1612-90</f>
        <v>22</v>
      </c>
      <c r="N1612" s="246">
        <v>1870</v>
      </c>
      <c r="O1612" s="246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37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134">
        <v>1740</v>
      </c>
      <c r="D1613" s="134">
        <v>1720</v>
      </c>
      <c r="G1613" s="134">
        <v>1880</v>
      </c>
      <c r="H1613" s="240">
        <v>1880</v>
      </c>
      <c r="I1613" s="240">
        <f t="shared" ref="I1613" si="223">H1613-P1613-B1613-90</f>
        <v>12</v>
      </c>
      <c r="J1613" s="242">
        <v>1910</v>
      </c>
      <c r="K1613" s="242">
        <f t="shared" ref="K1613" si="224">J1613-R1613-B1613-90</f>
        <v>44</v>
      </c>
      <c r="L1613" s="244">
        <v>1890</v>
      </c>
      <c r="M1613" s="244">
        <f t="shared" ref="M1613" si="225">L1613-Q1613-B1613-90</f>
        <v>12</v>
      </c>
      <c r="N1613" s="246">
        <v>1870</v>
      </c>
      <c r="O1613" s="246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37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134">
        <v>1740</v>
      </c>
      <c r="D1614" s="134">
        <v>1720</v>
      </c>
      <c r="G1614" s="134">
        <v>1870</v>
      </c>
      <c r="H1614" s="240">
        <v>1870</v>
      </c>
      <c r="I1614" s="240">
        <f t="shared" ref="I1614" si="227">H1614-P1614-B1614-90</f>
        <v>2</v>
      </c>
      <c r="J1614" s="242">
        <v>1910</v>
      </c>
      <c r="K1614" s="242">
        <f t="shared" ref="K1614" si="228">J1614-R1614-B1614-90</f>
        <v>44</v>
      </c>
      <c r="L1614" s="244">
        <v>1870</v>
      </c>
      <c r="M1614" s="244">
        <f t="shared" ref="M1614" si="229">L1614-Q1614-B1614-90</f>
        <v>-8</v>
      </c>
      <c r="N1614" s="246">
        <v>1860</v>
      </c>
      <c r="O1614" s="246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37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134">
        <v>1740</v>
      </c>
      <c r="D1615" s="134">
        <v>1720</v>
      </c>
      <c r="G1615" s="134">
        <v>1870</v>
      </c>
      <c r="H1615" s="240">
        <v>1870</v>
      </c>
      <c r="I1615" s="240">
        <f t="shared" ref="I1615" si="231">H1615-P1615-B1615-90</f>
        <v>2</v>
      </c>
      <c r="J1615" s="242">
        <v>1900</v>
      </c>
      <c r="K1615" s="242">
        <f t="shared" ref="K1615" si="232">J1615-R1615-B1615-90</f>
        <v>34</v>
      </c>
      <c r="L1615" s="244">
        <v>1870</v>
      </c>
      <c r="M1615" s="244">
        <f t="shared" ref="M1615" si="233">L1615-Q1615-B1615-90</f>
        <v>-8</v>
      </c>
      <c r="N1615" s="246">
        <v>1860</v>
      </c>
      <c r="O1615" s="246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37">
        <v>34</v>
      </c>
      <c r="T1615" s="173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134">
        <v>1740</v>
      </c>
      <c r="D1616" s="134">
        <v>1730</v>
      </c>
      <c r="G1616" s="134">
        <v>1870</v>
      </c>
      <c r="H1616" s="240">
        <v>1870</v>
      </c>
      <c r="I1616" s="240">
        <f t="shared" ref="I1616" si="235">H1616-P1616-B1616-90</f>
        <v>2</v>
      </c>
      <c r="J1616" s="242">
        <v>1890</v>
      </c>
      <c r="K1616" s="242">
        <f t="shared" ref="K1616" si="236">J1616-R1616-B1616-90</f>
        <v>24</v>
      </c>
      <c r="L1616" s="244">
        <v>1860</v>
      </c>
      <c r="M1616" s="244">
        <f t="shared" ref="M1616" si="237">L1616-Q1616-B1616-90</f>
        <v>-18</v>
      </c>
      <c r="N1616" s="246">
        <v>1860</v>
      </c>
      <c r="O1616" s="246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37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134">
        <v>1750</v>
      </c>
      <c r="D1617" s="134">
        <v>1750</v>
      </c>
      <c r="G1617" s="134">
        <v>1880</v>
      </c>
      <c r="H1617" s="240">
        <v>1880</v>
      </c>
      <c r="I1617" s="240">
        <f t="shared" ref="I1617" si="239">H1617-P1617-B1617-90</f>
        <v>2</v>
      </c>
      <c r="J1617" s="242">
        <v>1900</v>
      </c>
      <c r="K1617" s="242">
        <f t="shared" ref="K1617" si="240">J1617-R1617-B1617-90</f>
        <v>24</v>
      </c>
      <c r="L1617" s="244">
        <v>1870</v>
      </c>
      <c r="M1617" s="244">
        <f t="shared" ref="M1617" si="241">L1617-Q1617-B1617-90</f>
        <v>-18</v>
      </c>
      <c r="N1617" s="246">
        <v>1860</v>
      </c>
      <c r="O1617" s="246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37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459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134">
        <v>1750</v>
      </c>
      <c r="D1618" s="134">
        <v>1750</v>
      </c>
      <c r="G1618" s="134">
        <v>1880</v>
      </c>
      <c r="H1618" s="240">
        <v>1880</v>
      </c>
      <c r="I1618" s="240">
        <f t="shared" ref="I1618" si="243">H1618-P1618-B1618-90</f>
        <v>2</v>
      </c>
      <c r="J1618" s="242">
        <v>1900</v>
      </c>
      <c r="K1618" s="242">
        <f t="shared" ref="K1618" si="244">J1618-R1618-B1618-90</f>
        <v>24</v>
      </c>
      <c r="L1618" s="244">
        <v>1880</v>
      </c>
      <c r="M1618" s="244">
        <f t="shared" ref="M1618" si="245">L1618-Q1618-B1618-90</f>
        <v>-8</v>
      </c>
      <c r="N1618" s="246">
        <v>1860</v>
      </c>
      <c r="O1618" s="246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37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134">
        <v>1740</v>
      </c>
      <c r="D1619" s="134">
        <v>1740</v>
      </c>
      <c r="G1619" s="134">
        <v>1880</v>
      </c>
      <c r="H1619" s="240">
        <v>1880</v>
      </c>
      <c r="I1619" s="240">
        <f t="shared" ref="I1619" si="247">H1619-P1619-B1619-90</f>
        <v>12</v>
      </c>
      <c r="J1619" s="242">
        <v>1900</v>
      </c>
      <c r="K1619" s="242">
        <f t="shared" ref="K1619" si="248">J1619-R1619-B1619-90</f>
        <v>34</v>
      </c>
      <c r="L1619" s="244">
        <v>1880</v>
      </c>
      <c r="M1619" s="244">
        <f t="shared" ref="M1619" si="249">L1619-Q1619-B1619-90</f>
        <v>2</v>
      </c>
      <c r="N1619" s="246">
        <v>1860</v>
      </c>
      <c r="O1619" s="246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37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134">
        <v>1740</v>
      </c>
      <c r="D1620" s="134">
        <v>1735</v>
      </c>
      <c r="G1620" s="134">
        <v>1870</v>
      </c>
      <c r="H1620" s="240">
        <v>1870</v>
      </c>
      <c r="I1620" s="240">
        <f t="shared" ref="I1620" si="251">H1620-P1620-B1620-90</f>
        <v>1</v>
      </c>
      <c r="J1620" s="242">
        <v>1890</v>
      </c>
      <c r="K1620" s="242">
        <f t="shared" ref="K1620" si="252">J1620-R1620-B1620-90</f>
        <v>23</v>
      </c>
      <c r="L1620" s="244">
        <v>1880</v>
      </c>
      <c r="M1620" s="244">
        <f t="shared" ref="M1620" si="253">L1620-Q1620-B1620-90</f>
        <v>1</v>
      </c>
      <c r="N1620" s="246">
        <v>1860</v>
      </c>
      <c r="O1620" s="246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37">
        <v>35</v>
      </c>
      <c r="T1620" s="173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134">
        <v>1740</v>
      </c>
      <c r="D1621" s="134">
        <v>1735</v>
      </c>
      <c r="G1621" s="134">
        <v>1870</v>
      </c>
      <c r="H1621" s="240">
        <v>1870</v>
      </c>
      <c r="I1621" s="240">
        <f t="shared" ref="I1621" si="255">H1621-P1621-B1621-90</f>
        <v>1</v>
      </c>
      <c r="J1621" s="242">
        <v>1890</v>
      </c>
      <c r="K1621" s="242">
        <f t="shared" ref="K1621" si="256">J1621-R1621-B1621-90</f>
        <v>23</v>
      </c>
      <c r="L1621" s="244">
        <v>1870</v>
      </c>
      <c r="M1621" s="244">
        <f t="shared" ref="M1621" si="257">L1621-Q1621-B1621-90</f>
        <v>-9</v>
      </c>
      <c r="N1621" s="246">
        <v>1860</v>
      </c>
      <c r="O1621" s="246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37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134">
        <v>1740</v>
      </c>
      <c r="D1622" s="134">
        <v>1740</v>
      </c>
      <c r="G1622" s="134">
        <v>1860</v>
      </c>
      <c r="H1622" s="240">
        <v>1860</v>
      </c>
      <c r="I1622" s="240">
        <f t="shared" ref="I1622" si="259">H1622-P1622-B1622-90</f>
        <v>-9</v>
      </c>
      <c r="J1622" s="242">
        <v>1890</v>
      </c>
      <c r="K1622" s="242">
        <f t="shared" ref="K1622" si="260">J1622-R1622-B1622-90</f>
        <v>23</v>
      </c>
      <c r="L1622" s="244">
        <v>1870</v>
      </c>
      <c r="M1622" s="244">
        <f t="shared" ref="M1622" si="261">L1622-Q1622-B1622-90</f>
        <v>-9</v>
      </c>
      <c r="N1622" s="246">
        <v>1860</v>
      </c>
      <c r="O1622" s="246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37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134">
        <v>1740</v>
      </c>
      <c r="D1623" s="134">
        <v>1740</v>
      </c>
      <c r="G1623" s="134">
        <v>1870</v>
      </c>
      <c r="H1623" s="240">
        <v>1870</v>
      </c>
      <c r="I1623" s="240">
        <f t="shared" ref="I1623" si="263">H1623-P1623-B1623-90</f>
        <v>1</v>
      </c>
      <c r="J1623" s="242">
        <v>1890</v>
      </c>
      <c r="K1623" s="242">
        <f t="shared" ref="K1623" si="264">J1623-R1623-B1623-90</f>
        <v>23</v>
      </c>
      <c r="L1623" s="244">
        <v>1870</v>
      </c>
      <c r="M1623" s="244">
        <f t="shared" ref="M1623" si="265">L1623-Q1623-B1623-90</f>
        <v>-9</v>
      </c>
      <c r="N1623" s="246">
        <v>1860</v>
      </c>
      <c r="O1623" s="246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37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134">
        <v>1745</v>
      </c>
      <c r="D1624" s="134">
        <v>1745</v>
      </c>
      <c r="G1624" s="134">
        <v>1870</v>
      </c>
      <c r="H1624" s="240">
        <v>1870</v>
      </c>
      <c r="I1624" s="240">
        <f t="shared" ref="I1624" si="267">H1624-P1624-B1624-90</f>
        <v>-4</v>
      </c>
      <c r="J1624" s="242">
        <v>1890</v>
      </c>
      <c r="K1624" s="242">
        <f t="shared" ref="K1624" si="268">J1624-R1624-B1624-90</f>
        <v>18</v>
      </c>
      <c r="L1624" s="244">
        <v>1870</v>
      </c>
      <c r="M1624" s="244">
        <f t="shared" ref="M1624" si="269">L1624-Q1624-B1624-90</f>
        <v>-14</v>
      </c>
      <c r="N1624" s="246">
        <v>1860</v>
      </c>
      <c r="O1624" s="246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37">
        <v>35</v>
      </c>
      <c r="T1624" s="173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134">
        <v>1745</v>
      </c>
      <c r="D1625" s="134">
        <v>1745</v>
      </c>
      <c r="G1625" s="134">
        <v>1880</v>
      </c>
      <c r="H1625" s="240">
        <v>1880</v>
      </c>
      <c r="I1625" s="240">
        <f t="shared" ref="I1625" si="271">H1625-P1625-B1625-90</f>
        <v>6</v>
      </c>
      <c r="J1625" s="242">
        <v>1890</v>
      </c>
      <c r="K1625" s="242">
        <f t="shared" ref="K1625" si="272">J1625-R1625-B1625-90</f>
        <v>18</v>
      </c>
      <c r="L1625" s="244">
        <v>1880</v>
      </c>
      <c r="M1625" s="244">
        <f t="shared" ref="M1625" si="273">L1625-Q1625-B1625-90</f>
        <v>-5</v>
      </c>
      <c r="N1625" s="246">
        <v>1860</v>
      </c>
      <c r="O1625" s="246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37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134">
        <v>1750</v>
      </c>
      <c r="D1626" s="134">
        <v>1745</v>
      </c>
      <c r="G1626" s="134">
        <v>1880</v>
      </c>
      <c r="H1626" s="240">
        <v>1880</v>
      </c>
      <c r="I1626" s="240">
        <f t="shared" ref="I1626" si="275">H1626-P1626-B1626-90</f>
        <v>1</v>
      </c>
      <c r="J1626" s="242">
        <v>1890</v>
      </c>
      <c r="K1626" s="242">
        <f t="shared" ref="K1626" si="276">J1626-R1626-B1626-90</f>
        <v>13</v>
      </c>
      <c r="L1626" s="244">
        <v>1880</v>
      </c>
      <c r="M1626" s="244">
        <f t="shared" ref="M1626" si="277">L1626-Q1626-B1626-90</f>
        <v>-10</v>
      </c>
      <c r="N1626" s="246">
        <v>1860</v>
      </c>
      <c r="O1626" s="246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37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134">
        <v>1750</v>
      </c>
      <c r="D1627" s="134">
        <v>1745</v>
      </c>
      <c r="G1627" s="134">
        <v>1880</v>
      </c>
      <c r="H1627" s="240">
        <v>1880</v>
      </c>
      <c r="I1627" s="240">
        <f t="shared" ref="I1627" si="279">H1627-P1627-B1627-90</f>
        <v>1</v>
      </c>
      <c r="J1627" s="242">
        <v>1900</v>
      </c>
      <c r="K1627" s="242">
        <f t="shared" ref="K1627" si="280">J1627-R1627-B1627-90</f>
        <v>23</v>
      </c>
      <c r="L1627" s="244">
        <v>1880</v>
      </c>
      <c r="M1627" s="244">
        <f t="shared" ref="M1627" si="281">L1627-Q1627-B1627-90</f>
        <v>-10</v>
      </c>
      <c r="N1627" s="246">
        <v>1870</v>
      </c>
      <c r="O1627" s="246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37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459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134">
        <v>1755</v>
      </c>
      <c r="D1628" s="134">
        <v>1750</v>
      </c>
      <c r="G1628" s="134">
        <v>1880</v>
      </c>
      <c r="H1628" s="240">
        <v>1880</v>
      </c>
      <c r="I1628" s="240">
        <f t="shared" ref="I1628" si="283">H1628-P1628-B1628-90</f>
        <v>-4</v>
      </c>
      <c r="J1628" s="242">
        <v>1900</v>
      </c>
      <c r="K1628" s="242">
        <f t="shared" ref="K1628" si="284">J1628-R1628-B1628-90</f>
        <v>18</v>
      </c>
      <c r="L1628" s="244">
        <v>1880</v>
      </c>
      <c r="M1628" s="244">
        <f t="shared" ref="M1628" si="285">L1628-Q1628-B1628-90</f>
        <v>-15</v>
      </c>
      <c r="N1628" s="246">
        <v>1870</v>
      </c>
      <c r="O1628" s="246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37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134">
        <v>1755</v>
      </c>
      <c r="D1629" s="134">
        <v>1750</v>
      </c>
      <c r="G1629" s="134">
        <v>1890</v>
      </c>
      <c r="H1629" s="240">
        <v>1890</v>
      </c>
      <c r="I1629" s="240">
        <f t="shared" ref="I1629" si="287">H1629-P1629-B1629-90</f>
        <v>6</v>
      </c>
      <c r="J1629" s="242">
        <v>1900</v>
      </c>
      <c r="K1629" s="242">
        <f t="shared" ref="K1629" si="288">J1629-R1629-B1629-90</f>
        <v>18</v>
      </c>
      <c r="L1629" s="244">
        <v>1870</v>
      </c>
      <c r="M1629" s="244">
        <f t="shared" ref="M1629" si="289">L1629-Q1629-B1629-90</f>
        <v>-25</v>
      </c>
      <c r="N1629" s="246">
        <v>1870</v>
      </c>
      <c r="O1629" s="246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37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134">
        <v>1755</v>
      </c>
      <c r="D1630" s="134">
        <v>1750</v>
      </c>
      <c r="G1630" s="134">
        <v>1890</v>
      </c>
      <c r="H1630" s="240">
        <v>1890</v>
      </c>
      <c r="I1630" s="240">
        <f t="shared" ref="I1630" si="291">H1630-P1630-B1630-90</f>
        <v>5</v>
      </c>
      <c r="J1630" s="242">
        <v>1900</v>
      </c>
      <c r="K1630" s="242">
        <f t="shared" ref="K1630" si="292">J1630-R1630-B1630-90</f>
        <v>17</v>
      </c>
      <c r="L1630" s="244">
        <v>1870</v>
      </c>
      <c r="M1630" s="244">
        <f t="shared" ref="M1630" si="293">L1630-Q1630-B1630-90</f>
        <v>-25</v>
      </c>
      <c r="N1630" s="246">
        <v>1870</v>
      </c>
      <c r="O1630" s="246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37">
        <v>35</v>
      </c>
      <c r="T1630" s="173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134">
        <v>1755</v>
      </c>
      <c r="D1631" s="134">
        <v>1750</v>
      </c>
      <c r="G1631" s="134">
        <v>1880</v>
      </c>
      <c r="H1631" s="240">
        <v>1880</v>
      </c>
      <c r="I1631" s="240">
        <f t="shared" ref="I1631" si="295">H1631-P1631-B1631-90</f>
        <v>-5</v>
      </c>
      <c r="J1631" s="242">
        <v>1900</v>
      </c>
      <c r="K1631" s="242">
        <f t="shared" ref="K1631" si="296">J1631-R1631-B1631-90</f>
        <v>17</v>
      </c>
      <c r="L1631" s="244">
        <v>1870</v>
      </c>
      <c r="M1631" s="244">
        <f t="shared" ref="M1631" si="297">L1631-Q1631-B1631-90</f>
        <v>-25</v>
      </c>
      <c r="N1631" s="246">
        <v>1870</v>
      </c>
      <c r="O1631" s="246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37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134">
        <v>1750</v>
      </c>
      <c r="D1632" s="134">
        <v>1740</v>
      </c>
      <c r="G1632" s="134">
        <v>1880</v>
      </c>
      <c r="H1632" s="240">
        <v>1880</v>
      </c>
      <c r="I1632" s="240">
        <f t="shared" ref="I1632" si="299">H1632-P1632-B1632-90</f>
        <v>0</v>
      </c>
      <c r="J1632" s="242">
        <v>1890</v>
      </c>
      <c r="K1632" s="242">
        <f t="shared" ref="K1632" si="300">J1632-R1632-B1632-90</f>
        <v>12</v>
      </c>
      <c r="L1632" s="244">
        <v>1870</v>
      </c>
      <c r="M1632" s="244">
        <f t="shared" ref="M1632" si="301">L1632-Q1632-B1632-90</f>
        <v>-20</v>
      </c>
      <c r="N1632" s="246">
        <v>1860</v>
      </c>
      <c r="O1632" s="246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37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134">
        <v>1745</v>
      </c>
      <c r="D1633" s="134">
        <v>1735</v>
      </c>
      <c r="G1633" s="134">
        <v>1870</v>
      </c>
      <c r="H1633" s="240">
        <v>1870</v>
      </c>
      <c r="I1633" s="240">
        <f t="shared" ref="I1633" si="303">H1633-P1633-B1633-90</f>
        <v>-5</v>
      </c>
      <c r="J1633" s="242">
        <v>1890</v>
      </c>
      <c r="K1633" s="242">
        <f t="shared" ref="K1633" si="304">J1633-R1633-B1633-90</f>
        <v>17</v>
      </c>
      <c r="L1633" s="244">
        <v>1870</v>
      </c>
      <c r="M1633" s="244">
        <f t="shared" ref="M1633" si="305">L1633-Q1633-B1633-90</f>
        <v>-15</v>
      </c>
      <c r="N1633" s="246">
        <v>1860</v>
      </c>
      <c r="O1633" s="246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37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134">
        <v>1745</v>
      </c>
      <c r="D1634" s="134">
        <v>1730</v>
      </c>
      <c r="G1634" s="134">
        <v>1870</v>
      </c>
      <c r="H1634" s="240">
        <v>1870</v>
      </c>
      <c r="I1634" s="240">
        <f t="shared" ref="I1634" si="307">H1634-P1634-B1634-90</f>
        <v>-5</v>
      </c>
      <c r="J1634" s="242">
        <v>1890</v>
      </c>
      <c r="K1634" s="242">
        <f t="shared" ref="K1634" si="308">J1634-R1634-B1634-90</f>
        <v>17</v>
      </c>
      <c r="L1634" s="244">
        <v>1870</v>
      </c>
      <c r="M1634" s="244">
        <f t="shared" ref="M1634" si="309">L1634-Q1634-B1634-90</f>
        <v>-15</v>
      </c>
      <c r="N1634" s="246">
        <v>1860</v>
      </c>
      <c r="O1634" s="246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37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134">
        <v>1745</v>
      </c>
      <c r="D1635" s="134">
        <v>1730</v>
      </c>
      <c r="G1635" s="134">
        <v>1870</v>
      </c>
      <c r="H1635" s="240">
        <v>1870</v>
      </c>
      <c r="I1635" s="240">
        <f t="shared" ref="I1635" si="311">H1635-P1635-B1635-90</f>
        <v>-5</v>
      </c>
      <c r="J1635" s="242">
        <v>1880</v>
      </c>
      <c r="K1635" s="242">
        <f t="shared" ref="K1635" si="312">J1635-R1635-B1635-90</f>
        <v>7</v>
      </c>
      <c r="L1635" s="244">
        <v>1870</v>
      </c>
      <c r="M1635" s="244">
        <f t="shared" ref="M1635" si="313">L1635-Q1635-B1635-90</f>
        <v>-15</v>
      </c>
      <c r="N1635" s="246">
        <v>1860</v>
      </c>
      <c r="O1635" s="246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37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134">
        <v>1745</v>
      </c>
      <c r="D1636" s="134">
        <v>1730</v>
      </c>
      <c r="G1636" s="134">
        <v>1860</v>
      </c>
      <c r="H1636" s="240">
        <v>1860</v>
      </c>
      <c r="I1636" s="240">
        <f t="shared" ref="I1636" si="315">H1636-P1636-B1636-90</f>
        <v>-15</v>
      </c>
      <c r="J1636" s="242">
        <v>1870</v>
      </c>
      <c r="K1636" s="242">
        <f t="shared" ref="K1636" si="316">J1636-R1636-B1636-90</f>
        <v>-3</v>
      </c>
      <c r="L1636" s="244">
        <v>1870</v>
      </c>
      <c r="M1636" s="244">
        <f t="shared" ref="M1636" si="317">L1636-Q1636-B1636-90</f>
        <v>-15</v>
      </c>
      <c r="N1636" s="246">
        <v>1860</v>
      </c>
      <c r="O1636" s="246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37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134">
        <v>1735</v>
      </c>
      <c r="D1637" s="134">
        <v>1730</v>
      </c>
      <c r="G1637" s="134">
        <v>1860</v>
      </c>
      <c r="H1637" s="240">
        <v>1860</v>
      </c>
      <c r="I1637" s="240">
        <f t="shared" ref="I1637" si="319">H1637-P1637-B1637-90</f>
        <v>-5</v>
      </c>
      <c r="J1637" s="242">
        <v>1870</v>
      </c>
      <c r="K1637" s="242">
        <f t="shared" ref="K1637" si="320">J1637-R1637-B1637-90</f>
        <v>7</v>
      </c>
      <c r="L1637" s="244">
        <v>1870</v>
      </c>
      <c r="M1637" s="244">
        <f t="shared" ref="M1637:M1638" si="321">L1637-Q1637-B1637-90</f>
        <v>-5</v>
      </c>
      <c r="N1637" s="246">
        <v>1850</v>
      </c>
      <c r="O1637" s="246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37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134">
        <v>1735</v>
      </c>
      <c r="D1638" s="134">
        <v>1720</v>
      </c>
      <c r="G1638" s="134">
        <v>1850</v>
      </c>
      <c r="H1638" s="240">
        <v>1850</v>
      </c>
      <c r="I1638" s="240">
        <f t="shared" ref="I1638" si="323">H1638-P1638-B1638-90</f>
        <v>-15</v>
      </c>
      <c r="J1638" s="242">
        <v>1860</v>
      </c>
      <c r="K1638" s="242">
        <f t="shared" ref="K1638" si="324">J1638-R1638-B1638-90</f>
        <v>-3</v>
      </c>
      <c r="L1638" s="244">
        <v>1860</v>
      </c>
      <c r="M1638" s="244">
        <f t="shared" si="321"/>
        <v>-15</v>
      </c>
      <c r="N1638" s="246">
        <v>1850</v>
      </c>
      <c r="O1638" s="246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37">
        <v>35</v>
      </c>
      <c r="T1638" s="173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134">
        <v>1735</v>
      </c>
      <c r="D1639" s="134">
        <v>1720</v>
      </c>
      <c r="G1639" s="134">
        <v>1850</v>
      </c>
      <c r="H1639" s="240">
        <v>1850</v>
      </c>
      <c r="I1639" s="240">
        <f t="shared" ref="I1639" si="326">H1639-P1639-B1639-90</f>
        <v>-15</v>
      </c>
      <c r="J1639" s="242">
        <v>1860</v>
      </c>
      <c r="K1639" s="242">
        <f t="shared" ref="K1639" si="327">J1639-R1639-B1639-90</f>
        <v>-3</v>
      </c>
      <c r="L1639" s="244">
        <v>1850</v>
      </c>
      <c r="M1639" s="244">
        <f t="shared" ref="M1639" si="328">L1639-Q1639-B1639-90</f>
        <v>-25</v>
      </c>
      <c r="N1639" s="246">
        <v>1850</v>
      </c>
      <c r="O1639" s="246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37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134">
        <v>1745</v>
      </c>
      <c r="D1640" s="134">
        <v>1725</v>
      </c>
      <c r="G1640" s="134">
        <v>1850</v>
      </c>
      <c r="H1640" s="240">
        <v>1850</v>
      </c>
      <c r="I1640" s="240">
        <f t="shared" ref="I1640" si="330">H1640-P1640-B1640-90</f>
        <v>-26</v>
      </c>
      <c r="J1640" s="242">
        <v>1850</v>
      </c>
      <c r="K1640" s="242">
        <f t="shared" ref="K1640" si="331">J1640-R1640-B1640-90</f>
        <v>-24</v>
      </c>
      <c r="L1640" s="244">
        <v>1850</v>
      </c>
      <c r="M1640" s="244">
        <f t="shared" ref="M1640" si="332">L1640-Q1640-B1640-90</f>
        <v>-37</v>
      </c>
      <c r="N1640" s="246">
        <v>1850</v>
      </c>
      <c r="O1640" s="246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37">
        <v>34</v>
      </c>
      <c r="T1640" s="173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134">
        <v>1750</v>
      </c>
      <c r="D1641" s="134">
        <v>1745</v>
      </c>
      <c r="G1641" s="134">
        <v>1860</v>
      </c>
      <c r="H1641" s="240">
        <v>1860</v>
      </c>
      <c r="I1641" s="240">
        <f t="shared" ref="I1641" si="334">H1641-P1641-B1641-90</f>
        <v>-21</v>
      </c>
      <c r="J1641" s="242">
        <v>1870</v>
      </c>
      <c r="K1641" s="242">
        <f t="shared" ref="K1641" si="335">J1641-R1641-B1641-90</f>
        <v>-9</v>
      </c>
      <c r="L1641" s="244">
        <v>1860</v>
      </c>
      <c r="M1641" s="244">
        <f t="shared" ref="M1641" si="336">L1641-Q1641-B1641-90</f>
        <v>-32</v>
      </c>
      <c r="N1641" s="246">
        <v>1870</v>
      </c>
      <c r="O1641" s="246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37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134">
        <v>1750</v>
      </c>
      <c r="D1642" s="134">
        <v>1750</v>
      </c>
      <c r="G1642" s="134">
        <v>1860</v>
      </c>
      <c r="H1642" s="240">
        <v>1860</v>
      </c>
      <c r="I1642" s="240">
        <f t="shared" ref="I1642" si="338">H1642-P1642-B1642-90</f>
        <v>-21</v>
      </c>
      <c r="J1642" s="242">
        <v>1870</v>
      </c>
      <c r="K1642" s="242">
        <f t="shared" ref="K1642" si="339">J1642-R1642-B1642-90</f>
        <v>-9</v>
      </c>
      <c r="L1642" s="244">
        <v>1870</v>
      </c>
      <c r="M1642" s="244">
        <f t="shared" ref="M1642" si="340">L1642-Q1642-B1642-90</f>
        <v>-22</v>
      </c>
      <c r="N1642" s="246">
        <v>1870</v>
      </c>
      <c r="O1642" s="246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37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134">
        <v>1745</v>
      </c>
      <c r="D1643" s="134">
        <v>1750</v>
      </c>
      <c r="G1643" s="134">
        <v>1860</v>
      </c>
      <c r="H1643" s="240">
        <v>1860</v>
      </c>
      <c r="I1643" s="240">
        <f t="shared" ref="I1643" si="342">H1643-P1643-B1643-90</f>
        <v>-16</v>
      </c>
      <c r="J1643" s="242">
        <v>1870</v>
      </c>
      <c r="K1643" s="242">
        <f t="shared" ref="K1643" si="343">J1643-R1643-B1643-90</f>
        <v>-4</v>
      </c>
      <c r="L1643" s="244">
        <v>1870</v>
      </c>
      <c r="M1643" s="244">
        <f t="shared" ref="M1643" si="344">L1643-Q1643-B1643-90</f>
        <v>-17</v>
      </c>
      <c r="N1643" s="246">
        <v>1860</v>
      </c>
      <c r="O1643" s="246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37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134">
        <v>1745</v>
      </c>
      <c r="D1644" s="134">
        <v>1750</v>
      </c>
      <c r="G1644" s="134">
        <v>1860</v>
      </c>
      <c r="H1644" s="240">
        <v>1860</v>
      </c>
      <c r="I1644" s="240">
        <f t="shared" ref="I1644" si="346">H1644-P1644-B1644-90</f>
        <v>-19</v>
      </c>
      <c r="J1644" s="242">
        <v>1870</v>
      </c>
      <c r="K1644" s="242">
        <f t="shared" ref="K1644" si="347">J1644-R1644-B1644-90</f>
        <v>-7</v>
      </c>
      <c r="L1644" s="244">
        <v>1870</v>
      </c>
      <c r="M1644" s="244">
        <f t="shared" ref="M1644" si="348">L1644-Q1644-B1644-90</f>
        <v>-19</v>
      </c>
      <c r="N1644" s="246">
        <v>1860</v>
      </c>
      <c r="O1644" s="246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37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134">
        <v>1750</v>
      </c>
      <c r="D1645" s="134">
        <v>1750</v>
      </c>
      <c r="G1645" s="134">
        <v>1860</v>
      </c>
      <c r="H1645" s="240">
        <v>1860</v>
      </c>
      <c r="I1645" s="240">
        <f t="shared" ref="I1645" si="350">H1645-P1645-B1645-90</f>
        <v>-24</v>
      </c>
      <c r="J1645" s="242">
        <v>1870</v>
      </c>
      <c r="K1645" s="242">
        <f t="shared" ref="K1645" si="351">J1645-R1645-B1645-90</f>
        <v>-12</v>
      </c>
      <c r="L1645" s="244">
        <v>1870</v>
      </c>
      <c r="M1645" s="244">
        <f t="shared" ref="M1645" si="352">L1645-Q1645-B1645-90</f>
        <v>-24</v>
      </c>
      <c r="N1645" s="246">
        <v>1860</v>
      </c>
      <c r="O1645" s="246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37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134">
        <v>1770</v>
      </c>
      <c r="D1646" s="134">
        <v>1765</v>
      </c>
      <c r="G1646" s="134">
        <v>1860</v>
      </c>
      <c r="H1646" s="240">
        <v>1860</v>
      </c>
      <c r="I1646" s="240">
        <f t="shared" ref="I1646" si="354">H1646-P1646-B1646-90</f>
        <v>-44</v>
      </c>
      <c r="J1646" s="242">
        <v>1870</v>
      </c>
      <c r="K1646" s="242">
        <f t="shared" ref="K1646" si="355">J1646-R1646-B1646-90</f>
        <v>-32</v>
      </c>
      <c r="L1646" s="244">
        <v>1870</v>
      </c>
      <c r="M1646" s="244">
        <f t="shared" ref="M1646" si="356">L1646-Q1646-B1646-90</f>
        <v>-44</v>
      </c>
      <c r="N1646" s="246">
        <v>1870</v>
      </c>
      <c r="O1646" s="246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37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134">
        <v>1780</v>
      </c>
      <c r="D1647" s="134">
        <v>1780</v>
      </c>
      <c r="G1647" s="134">
        <v>1890</v>
      </c>
      <c r="H1647" s="240">
        <v>1890</v>
      </c>
      <c r="I1647" s="240">
        <f t="shared" ref="I1647" si="358">H1647-P1647-B1647-90</f>
        <v>-24</v>
      </c>
      <c r="J1647" s="242">
        <v>1890</v>
      </c>
      <c r="K1647" s="242">
        <f t="shared" ref="K1647" si="359">J1647-R1647-B1647-90</f>
        <v>-22</v>
      </c>
      <c r="L1647" s="244">
        <v>1880</v>
      </c>
      <c r="M1647" s="244">
        <f t="shared" ref="M1647" si="360">L1647-Q1647-B1647-90</f>
        <v>-44</v>
      </c>
      <c r="N1647" s="246">
        <v>1880</v>
      </c>
      <c r="O1647" s="246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37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  <row r="1648" spans="1:64">
      <c r="A1648" s="133">
        <v>43572</v>
      </c>
      <c r="B1648" s="134">
        <v>1780</v>
      </c>
      <c r="D1648" s="134">
        <v>1780</v>
      </c>
      <c r="G1648" s="134">
        <v>1890</v>
      </c>
      <c r="H1648" s="240">
        <v>1890</v>
      </c>
      <c r="I1648" s="240">
        <f t="shared" ref="I1648" si="362">H1648-P1648-B1648-90</f>
        <v>-24</v>
      </c>
      <c r="J1648" s="242">
        <v>1900</v>
      </c>
      <c r="K1648" s="242">
        <f t="shared" ref="K1648" si="363">J1648-R1648-B1648-90</f>
        <v>-12</v>
      </c>
      <c r="L1648" s="244">
        <v>1890</v>
      </c>
      <c r="M1648" s="244">
        <f t="shared" ref="M1648" si="364">L1648-Q1648-B1648-90</f>
        <v>-34</v>
      </c>
      <c r="N1648" s="246">
        <v>1890</v>
      </c>
      <c r="O1648" s="246">
        <f t="shared" ref="O1648" si="365">N1648-S1648-B1648-90</f>
        <v>-19</v>
      </c>
      <c r="P1648" s="135">
        <v>44</v>
      </c>
      <c r="Q1648" s="135">
        <v>54</v>
      </c>
      <c r="R1648" s="135">
        <v>42</v>
      </c>
      <c r="S1648" s="237">
        <v>39</v>
      </c>
      <c r="V1648" s="138">
        <v>1610</v>
      </c>
      <c r="W1648" s="138">
        <v>1620</v>
      </c>
      <c r="X1648" s="138">
        <v>1630</v>
      </c>
      <c r="AA1648" s="138">
        <v>1640</v>
      </c>
      <c r="AB1648" s="138">
        <v>1680</v>
      </c>
      <c r="AC1648" s="138">
        <v>1630</v>
      </c>
      <c r="AD1648" s="138">
        <v>1670</v>
      </c>
      <c r="AK1648" s="138">
        <v>1690</v>
      </c>
      <c r="AN1648" s="138">
        <v>1700</v>
      </c>
      <c r="AO1648" s="138">
        <v>1660</v>
      </c>
      <c r="AP1648" s="138">
        <v>1710</v>
      </c>
      <c r="AQ1648" s="138">
        <v>1650</v>
      </c>
      <c r="AR1648" s="138">
        <v>1680</v>
      </c>
      <c r="AT1648" s="138">
        <v>1720</v>
      </c>
      <c r="AW1648" s="136">
        <v>1730</v>
      </c>
      <c r="AX1648" s="136">
        <v>1620</v>
      </c>
      <c r="AY1648" s="136">
        <v>1850</v>
      </c>
      <c r="AZ1648" s="136">
        <v>1850</v>
      </c>
      <c r="BA1648" s="136">
        <v>1910</v>
      </c>
      <c r="BB1648" s="136">
        <v>1856</v>
      </c>
      <c r="BC1648" s="136">
        <v>1940</v>
      </c>
      <c r="BD1648" s="136">
        <v>1950</v>
      </c>
      <c r="BE1648" s="136">
        <v>1940</v>
      </c>
      <c r="BF1648" s="136">
        <v>1930</v>
      </c>
      <c r="BG1648" s="136">
        <v>1940</v>
      </c>
      <c r="BH1648" s="136">
        <v>1950</v>
      </c>
      <c r="BI1648" s="136">
        <v>2090</v>
      </c>
      <c r="BJ1648" s="136">
        <v>1930</v>
      </c>
      <c r="BK1648" s="136">
        <v>1930</v>
      </c>
      <c r="BL1648" s="136">
        <v>1950</v>
      </c>
    </row>
    <row r="1649" spans="1:64">
      <c r="A1649" s="133">
        <v>43573</v>
      </c>
      <c r="B1649" s="134">
        <v>1790</v>
      </c>
      <c r="D1649" s="134">
        <v>1790</v>
      </c>
      <c r="G1649" s="134">
        <v>1910</v>
      </c>
      <c r="H1649" s="240">
        <v>1910</v>
      </c>
      <c r="I1649" s="240">
        <f t="shared" ref="I1649" si="366">H1649-P1649-B1649-90</f>
        <v>-12</v>
      </c>
      <c r="J1649" s="242">
        <v>1900</v>
      </c>
      <c r="K1649" s="242">
        <f t="shared" ref="K1649" si="367">J1649-R1649-B1649-90</f>
        <v>-20</v>
      </c>
      <c r="L1649" s="244">
        <v>1900</v>
      </c>
      <c r="M1649" s="244">
        <f t="shared" ref="M1649" si="368">L1649-Q1649-B1649-90</f>
        <v>-33</v>
      </c>
      <c r="N1649" s="246">
        <v>1910</v>
      </c>
      <c r="O1649" s="246">
        <f t="shared" ref="O1649" si="369">N1649-S1649-B1649-90</f>
        <v>-9</v>
      </c>
      <c r="P1649" s="135">
        <v>42</v>
      </c>
      <c r="Q1649" s="135">
        <v>53</v>
      </c>
      <c r="R1649" s="135">
        <v>40</v>
      </c>
      <c r="S1649" s="237">
        <v>39</v>
      </c>
      <c r="U1649" s="137">
        <v>175</v>
      </c>
      <c r="V1649" s="138">
        <v>1610</v>
      </c>
      <c r="W1649" s="138">
        <v>1620</v>
      </c>
      <c r="X1649" s="138">
        <v>1630</v>
      </c>
      <c r="Z1649" s="137">
        <v>130</v>
      </c>
      <c r="AA1649" s="138">
        <v>1640</v>
      </c>
      <c r="AB1649" s="138">
        <v>1680</v>
      </c>
      <c r="AC1649" s="138">
        <v>1630</v>
      </c>
      <c r="AD1649" s="138">
        <v>1670</v>
      </c>
      <c r="AJ1649" s="137">
        <v>130</v>
      </c>
      <c r="AK1649" s="138">
        <v>1690</v>
      </c>
      <c r="AM1649" s="139">
        <v>125</v>
      </c>
      <c r="AN1649" s="138">
        <v>1730</v>
      </c>
      <c r="AO1649" s="138">
        <v>1660</v>
      </c>
      <c r="AP1649" s="138">
        <v>1710</v>
      </c>
      <c r="AQ1649" s="138">
        <v>1650</v>
      </c>
      <c r="AR1649" s="138">
        <v>1680</v>
      </c>
      <c r="AT1649" s="138">
        <v>1720</v>
      </c>
      <c r="AW1649" s="136">
        <v>1730</v>
      </c>
      <c r="AX1649" s="136">
        <v>1620</v>
      </c>
      <c r="AY1649" s="136">
        <v>1850</v>
      </c>
      <c r="AZ1649" s="136">
        <v>1850</v>
      </c>
      <c r="BA1649" s="136">
        <v>1910</v>
      </c>
      <c r="BB1649" s="136">
        <v>1862</v>
      </c>
      <c r="BC1649" s="136">
        <v>1940</v>
      </c>
      <c r="BD1649" s="136">
        <v>1950</v>
      </c>
      <c r="BE1649" s="136">
        <v>1940</v>
      </c>
      <c r="BF1649" s="136">
        <v>1930</v>
      </c>
      <c r="BG1649" s="136">
        <v>1940</v>
      </c>
      <c r="BH1649" s="136">
        <v>1950</v>
      </c>
      <c r="BI1649" s="136">
        <v>2100</v>
      </c>
      <c r="BJ1649" s="136">
        <v>1930</v>
      </c>
      <c r="BK1649" s="136">
        <v>1950</v>
      </c>
      <c r="BL1649" s="136">
        <v>1950</v>
      </c>
    </row>
    <row r="1650" spans="1:64">
      <c r="A1650" s="133">
        <v>43574</v>
      </c>
      <c r="B1650" s="134">
        <v>1800</v>
      </c>
      <c r="D1650" s="134">
        <v>1800</v>
      </c>
      <c r="G1650" s="134">
        <v>1910</v>
      </c>
      <c r="H1650" s="240">
        <v>1910</v>
      </c>
      <c r="I1650" s="240">
        <f t="shared" ref="I1650" si="370">H1650-P1650-B1650-90</f>
        <v>-22</v>
      </c>
      <c r="J1650" s="242">
        <v>1910</v>
      </c>
      <c r="K1650" s="242">
        <f t="shared" ref="K1650" si="371">J1650-R1650-B1650-90</f>
        <v>-20</v>
      </c>
      <c r="L1650" s="244">
        <v>1910</v>
      </c>
      <c r="M1650" s="244">
        <f t="shared" ref="M1650" si="372">L1650-Q1650-B1650-90</f>
        <v>-33</v>
      </c>
      <c r="N1650" s="246">
        <v>1910</v>
      </c>
      <c r="O1650" s="246">
        <f t="shared" ref="O1650" si="373">N1650-S1650-B1650-90</f>
        <v>-19</v>
      </c>
      <c r="P1650" s="135">
        <v>42</v>
      </c>
      <c r="Q1650" s="135">
        <v>53</v>
      </c>
      <c r="R1650" s="135">
        <v>40</v>
      </c>
      <c r="S1650" s="237">
        <v>39</v>
      </c>
      <c r="V1650" s="138">
        <v>1610</v>
      </c>
      <c r="W1650" s="138">
        <v>1620</v>
      </c>
      <c r="X1650" s="138">
        <v>1630</v>
      </c>
      <c r="AA1650" s="138">
        <v>1640</v>
      </c>
      <c r="AB1650" s="138">
        <v>1680</v>
      </c>
      <c r="AC1650" s="138">
        <v>1660</v>
      </c>
      <c r="AD1650" s="138">
        <v>1670</v>
      </c>
      <c r="AK1650" s="138">
        <v>1690</v>
      </c>
      <c r="AN1650" s="138">
        <v>1730</v>
      </c>
      <c r="AO1650" s="138">
        <v>1660</v>
      </c>
      <c r="AP1650" s="138">
        <v>1730</v>
      </c>
      <c r="AQ1650" s="138">
        <v>1650</v>
      </c>
      <c r="AR1650" s="138">
        <v>1680</v>
      </c>
      <c r="AT1650" s="138">
        <v>1720</v>
      </c>
      <c r="AW1650" s="136">
        <v>1730</v>
      </c>
      <c r="AX1650" s="136">
        <v>1640</v>
      </c>
      <c r="AY1650" s="136">
        <v>1850</v>
      </c>
      <c r="AZ1650" s="136">
        <v>1850</v>
      </c>
      <c r="BA1650" s="136">
        <v>1910</v>
      </c>
      <c r="BB1650" s="136">
        <v>1862</v>
      </c>
      <c r="BC1650" s="136">
        <v>1940</v>
      </c>
      <c r="BD1650" s="136">
        <v>1950</v>
      </c>
      <c r="BE1650" s="136">
        <v>1940</v>
      </c>
      <c r="BF1650" s="136">
        <v>1930</v>
      </c>
      <c r="BG1650" s="136">
        <v>1940</v>
      </c>
      <c r="BH1650" s="136">
        <v>1950</v>
      </c>
      <c r="BI1650" s="136">
        <v>2100</v>
      </c>
      <c r="BJ1650" s="136">
        <v>1930</v>
      </c>
      <c r="BK1650" s="136">
        <v>1950</v>
      </c>
      <c r="BL1650" s="136">
        <v>1950</v>
      </c>
    </row>
    <row r="1651" spans="1:64">
      <c r="A1651" s="133">
        <v>43577</v>
      </c>
      <c r="B1651" s="134">
        <v>1800</v>
      </c>
      <c r="D1651" s="134">
        <v>1800</v>
      </c>
      <c r="G1651" s="134">
        <v>1910</v>
      </c>
      <c r="H1651" s="240">
        <v>1910</v>
      </c>
      <c r="I1651" s="240">
        <f t="shared" ref="I1651" si="374">H1651-P1651-B1651-90</f>
        <v>-22</v>
      </c>
      <c r="J1651" s="242">
        <v>1910</v>
      </c>
      <c r="K1651" s="242">
        <f t="shared" ref="K1651" si="375">J1651-R1651-B1651-90</f>
        <v>-20</v>
      </c>
      <c r="L1651" s="244">
        <v>1910</v>
      </c>
      <c r="M1651" s="244">
        <f t="shared" ref="M1651" si="376">L1651-Q1651-B1651-90</f>
        <v>-33</v>
      </c>
      <c r="N1651" s="246">
        <v>1910</v>
      </c>
      <c r="O1651" s="246">
        <f t="shared" ref="O1651" si="377">N1651-S1651-B1651-90</f>
        <v>-19</v>
      </c>
      <c r="P1651" s="135">
        <v>42</v>
      </c>
      <c r="Q1651" s="135">
        <v>53</v>
      </c>
      <c r="R1651" s="135">
        <v>40</v>
      </c>
      <c r="S1651" s="237">
        <v>39</v>
      </c>
      <c r="V1651" s="138">
        <v>1610</v>
      </c>
      <c r="W1651" s="138">
        <v>1620</v>
      </c>
      <c r="X1651" s="138">
        <v>1630</v>
      </c>
      <c r="Y1651" s="136">
        <v>1690</v>
      </c>
      <c r="AA1651" s="138">
        <v>1640</v>
      </c>
      <c r="AB1651" s="138">
        <v>1700</v>
      </c>
      <c r="AC1651" s="138">
        <v>1680</v>
      </c>
      <c r="AD1651" s="138">
        <v>1670</v>
      </c>
      <c r="AK1651" s="138">
        <v>1690</v>
      </c>
      <c r="AN1651" s="138">
        <v>1730</v>
      </c>
      <c r="AO1651" s="138">
        <v>1660</v>
      </c>
      <c r="AP1651" s="138">
        <v>1730</v>
      </c>
      <c r="AQ1651" s="138">
        <v>1690</v>
      </c>
      <c r="AR1651" s="138">
        <v>1680</v>
      </c>
      <c r="AT1651" s="138">
        <v>1720</v>
      </c>
      <c r="AW1651" s="136">
        <v>1730</v>
      </c>
      <c r="AX1651" s="136">
        <v>1640</v>
      </c>
      <c r="AY1651" s="136">
        <v>1850</v>
      </c>
      <c r="AZ1651" s="136">
        <v>1820</v>
      </c>
      <c r="BA1651" s="136">
        <v>1905</v>
      </c>
      <c r="BB1651" s="136">
        <v>1862</v>
      </c>
      <c r="BC1651" s="136">
        <v>1960</v>
      </c>
      <c r="BD1651" s="136">
        <v>1970</v>
      </c>
      <c r="BE1651" s="136">
        <v>1940</v>
      </c>
      <c r="BF1651" s="136">
        <v>1930</v>
      </c>
      <c r="BG1651" s="136">
        <v>1940</v>
      </c>
      <c r="BH1651" s="136">
        <v>1950</v>
      </c>
      <c r="BI1651" s="136">
        <v>2110</v>
      </c>
      <c r="BJ1651" s="136">
        <v>1960</v>
      </c>
      <c r="BK1651" s="136">
        <v>1950</v>
      </c>
      <c r="BL1651" s="136">
        <v>1950</v>
      </c>
    </row>
    <row r="1652" spans="1:64">
      <c r="A1652" s="133">
        <v>43578</v>
      </c>
      <c r="B1652" s="134">
        <v>1800</v>
      </c>
      <c r="D1652" s="134">
        <v>1800</v>
      </c>
      <c r="G1652" s="134">
        <v>1920</v>
      </c>
      <c r="H1652" s="240">
        <v>1920</v>
      </c>
      <c r="I1652" s="240">
        <f t="shared" ref="I1652" si="378">H1652-P1652-B1652-90</f>
        <v>-12</v>
      </c>
      <c r="J1652" s="242">
        <v>1930</v>
      </c>
      <c r="K1652" s="242">
        <f t="shared" ref="K1652" si="379">J1652-R1652-B1652-90</f>
        <v>0</v>
      </c>
      <c r="L1652" s="244">
        <v>1930</v>
      </c>
      <c r="M1652" s="244">
        <f t="shared" ref="M1652" si="380">L1652-Q1652-B1652-90</f>
        <v>-13</v>
      </c>
      <c r="N1652" s="246">
        <v>1920</v>
      </c>
      <c r="O1652" s="246">
        <f t="shared" ref="O1652" si="381">N1652-S1652-B1652-90</f>
        <v>-9</v>
      </c>
      <c r="P1652" s="135">
        <v>42</v>
      </c>
      <c r="Q1652" s="135">
        <v>53</v>
      </c>
      <c r="R1652" s="135">
        <v>40</v>
      </c>
      <c r="S1652" s="237">
        <v>39</v>
      </c>
      <c r="V1652" s="138">
        <v>1610</v>
      </c>
      <c r="W1652" s="138">
        <v>1620</v>
      </c>
      <c r="X1652" s="138">
        <v>1630</v>
      </c>
      <c r="AA1652" s="138">
        <v>1640</v>
      </c>
      <c r="AB1652" s="138">
        <v>1700</v>
      </c>
      <c r="AC1652" s="138">
        <v>1680</v>
      </c>
      <c r="AD1652" s="138">
        <v>1670</v>
      </c>
      <c r="AK1652" s="138">
        <v>1690</v>
      </c>
      <c r="AN1652" s="138">
        <v>1730</v>
      </c>
      <c r="AO1652" s="138">
        <v>1660</v>
      </c>
      <c r="AP1652" s="138">
        <v>1730</v>
      </c>
      <c r="AQ1652" s="138">
        <v>1690</v>
      </c>
      <c r="AR1652" s="138">
        <v>1680</v>
      </c>
      <c r="AT1652" s="138">
        <v>1720</v>
      </c>
      <c r="AV1652" s="136">
        <v>1740</v>
      </c>
      <c r="AW1652" s="136">
        <v>1730</v>
      </c>
      <c r="AX1652" s="136">
        <v>1640</v>
      </c>
      <c r="AY1652" s="136">
        <v>1850</v>
      </c>
      <c r="AZ1652" s="136">
        <v>1820</v>
      </c>
      <c r="BA1652" s="136">
        <v>1905</v>
      </c>
      <c r="BB1652" s="136">
        <v>1862</v>
      </c>
      <c r="BC1652" s="136">
        <v>1960</v>
      </c>
      <c r="BD1652" s="136">
        <v>1970</v>
      </c>
      <c r="BE1652" s="136">
        <v>1940</v>
      </c>
      <c r="BF1652" s="136">
        <v>1930</v>
      </c>
      <c r="BG1652" s="136">
        <v>1940</v>
      </c>
      <c r="BH1652" s="136">
        <v>1950</v>
      </c>
      <c r="BI1652" s="136">
        <v>2110</v>
      </c>
      <c r="BJ1652" s="136">
        <v>1960</v>
      </c>
      <c r="BK1652" s="136">
        <v>1950</v>
      </c>
      <c r="BL1652" s="136">
        <v>1950</v>
      </c>
    </row>
    <row r="1653" spans="1:64">
      <c r="A1653" s="133">
        <v>43579</v>
      </c>
      <c r="B1653" s="134">
        <v>1810</v>
      </c>
      <c r="D1653" s="134">
        <v>1810</v>
      </c>
      <c r="G1653" s="134">
        <v>1930</v>
      </c>
      <c r="H1653" s="240">
        <v>1930</v>
      </c>
      <c r="I1653" s="240">
        <f t="shared" ref="I1653" si="382">H1653-P1653-B1653-90</f>
        <v>-12</v>
      </c>
      <c r="J1653" s="242">
        <v>1940</v>
      </c>
      <c r="K1653" s="242">
        <f t="shared" ref="K1653" si="383">J1653-R1653-B1653-90</f>
        <v>0</v>
      </c>
      <c r="L1653" s="244">
        <v>1930</v>
      </c>
      <c r="M1653" s="244">
        <f t="shared" ref="M1653" si="384">L1653-Q1653-B1653-90</f>
        <v>-23</v>
      </c>
      <c r="N1653" s="246">
        <v>1930</v>
      </c>
      <c r="O1653" s="246">
        <f t="shared" ref="O1653" si="385">N1653-S1653-B1653-90</f>
        <v>-9</v>
      </c>
      <c r="P1653" s="135">
        <v>42</v>
      </c>
      <c r="Q1653" s="135">
        <v>53</v>
      </c>
      <c r="R1653" s="135">
        <v>40</v>
      </c>
      <c r="S1653" s="237">
        <v>39</v>
      </c>
      <c r="V1653" s="138">
        <v>1610</v>
      </c>
      <c r="W1653" s="138">
        <v>1620</v>
      </c>
      <c r="X1653" s="138">
        <v>1630</v>
      </c>
      <c r="AA1653" s="138">
        <v>1640</v>
      </c>
      <c r="AB1653" s="138">
        <v>1700</v>
      </c>
      <c r="AC1653" s="138">
        <v>1680</v>
      </c>
      <c r="AD1653" s="138">
        <v>1670</v>
      </c>
      <c r="AK1653" s="138">
        <v>1690</v>
      </c>
      <c r="AN1653" s="138">
        <v>1730</v>
      </c>
      <c r="AO1653" s="138">
        <v>1660</v>
      </c>
      <c r="AP1653" s="138">
        <v>1730</v>
      </c>
      <c r="AQ1653" s="138">
        <v>1690</v>
      </c>
      <c r="AR1653" s="138">
        <v>1680</v>
      </c>
      <c r="AT1653" s="138">
        <v>1720</v>
      </c>
      <c r="AW1653" s="136">
        <v>1730</v>
      </c>
      <c r="AX1653" s="136">
        <v>1640</v>
      </c>
      <c r="AY1653" s="136">
        <v>1850</v>
      </c>
      <c r="AZ1653" s="136">
        <v>1820</v>
      </c>
      <c r="BA1653" s="136">
        <v>1898</v>
      </c>
      <c r="BB1653" s="136">
        <v>1844</v>
      </c>
      <c r="BC1653" s="136">
        <v>1970</v>
      </c>
      <c r="BD1653" s="136">
        <v>1970</v>
      </c>
      <c r="BE1653" s="136">
        <v>1940</v>
      </c>
      <c r="BF1653" s="136">
        <v>1930</v>
      </c>
      <c r="BG1653" s="136">
        <v>1924</v>
      </c>
      <c r="BH1653" s="136">
        <v>1950</v>
      </c>
      <c r="BI1653" s="136">
        <v>2110</v>
      </c>
      <c r="BJ1653" s="136">
        <v>1960</v>
      </c>
      <c r="BK1653" s="136">
        <v>1950</v>
      </c>
      <c r="BL1653" s="136">
        <v>1950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3.5"/>
  <cols>
    <col min="1" max="1" width="11.625" style="136" bestFit="1" customWidth="1"/>
    <col min="2" max="2" width="9" style="173"/>
    <col min="3" max="16384" width="9" style="136"/>
  </cols>
  <sheetData>
    <row r="1" spans="1:23" ht="14.25">
      <c r="A1" s="136" t="s">
        <v>177</v>
      </c>
      <c r="B1" s="549" t="s">
        <v>134</v>
      </c>
      <c r="C1" s="550" t="s">
        <v>135</v>
      </c>
      <c r="D1" s="550" t="s">
        <v>136</v>
      </c>
      <c r="E1" s="551" t="s">
        <v>137</v>
      </c>
      <c r="F1" s="551" t="s">
        <v>138</v>
      </c>
      <c r="G1" s="552" t="s">
        <v>140</v>
      </c>
      <c r="H1" s="552" t="s">
        <v>141</v>
      </c>
      <c r="I1" s="552" t="s">
        <v>142</v>
      </c>
      <c r="J1" s="553" t="s">
        <v>134</v>
      </c>
      <c r="K1" s="553" t="s">
        <v>136</v>
      </c>
      <c r="L1" s="553" t="s">
        <v>144</v>
      </c>
      <c r="M1" s="553" t="s">
        <v>145</v>
      </c>
      <c r="N1" s="553" t="s">
        <v>146</v>
      </c>
      <c r="O1" s="553" t="s">
        <v>135</v>
      </c>
      <c r="P1" s="553" t="s">
        <v>147</v>
      </c>
      <c r="Q1" s="554" t="s">
        <v>149</v>
      </c>
      <c r="R1" s="554" t="s">
        <v>150</v>
      </c>
      <c r="S1" s="554" t="s">
        <v>151</v>
      </c>
      <c r="T1" s="554" t="s">
        <v>134</v>
      </c>
      <c r="U1" s="555" t="s">
        <v>178</v>
      </c>
      <c r="V1" s="555" t="s">
        <v>179</v>
      </c>
      <c r="W1" s="555" t="s">
        <v>180</v>
      </c>
    </row>
    <row r="2" spans="1:23" ht="14.25">
      <c r="A2" s="133">
        <v>43346</v>
      </c>
      <c r="B2" s="171"/>
      <c r="C2" s="172"/>
      <c r="D2" s="172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3">
      <c r="A3" s="133">
        <v>43353</v>
      </c>
      <c r="B3" s="173">
        <v>115</v>
      </c>
      <c r="C3" s="136">
        <v>45</v>
      </c>
      <c r="D3" s="136">
        <v>45</v>
      </c>
      <c r="E3" s="136">
        <v>50</v>
      </c>
      <c r="F3" s="136">
        <v>7</v>
      </c>
      <c r="G3" s="136">
        <v>30</v>
      </c>
      <c r="H3" s="136">
        <v>50</v>
      </c>
      <c r="I3" s="136">
        <v>40</v>
      </c>
      <c r="Q3" s="136">
        <v>70</v>
      </c>
      <c r="R3" s="136">
        <v>10</v>
      </c>
      <c r="S3" s="136">
        <v>90</v>
      </c>
      <c r="T3" s="136">
        <v>45</v>
      </c>
      <c r="U3" s="136">
        <v>55</v>
      </c>
      <c r="V3" s="136">
        <v>110</v>
      </c>
      <c r="W3" s="136">
        <v>55</v>
      </c>
    </row>
    <row r="4" spans="1:23">
      <c r="A4" s="133">
        <v>43360</v>
      </c>
      <c r="B4" s="173">
        <v>115</v>
      </c>
      <c r="C4" s="136">
        <v>45</v>
      </c>
      <c r="D4" s="136">
        <v>45</v>
      </c>
      <c r="E4" s="136">
        <v>50</v>
      </c>
      <c r="F4" s="136">
        <v>5.5</v>
      </c>
      <c r="G4" s="136">
        <v>30</v>
      </c>
      <c r="H4" s="136">
        <v>50</v>
      </c>
      <c r="I4" s="136">
        <v>40</v>
      </c>
      <c r="Q4" s="136">
        <v>70</v>
      </c>
      <c r="R4" s="136">
        <v>10</v>
      </c>
      <c r="S4" s="136">
        <v>90</v>
      </c>
      <c r="T4" s="136">
        <v>45</v>
      </c>
      <c r="U4" s="136">
        <v>55</v>
      </c>
      <c r="V4" s="136">
        <v>110</v>
      </c>
      <c r="W4" s="136">
        <v>55</v>
      </c>
    </row>
    <row r="5" spans="1:23">
      <c r="A5" s="133">
        <v>43367</v>
      </c>
      <c r="B5" s="173">
        <v>115</v>
      </c>
      <c r="C5" s="136">
        <v>45</v>
      </c>
      <c r="D5" s="136">
        <v>45</v>
      </c>
      <c r="E5" s="136">
        <v>50</v>
      </c>
      <c r="F5" s="136">
        <v>5.5</v>
      </c>
      <c r="G5" s="136">
        <v>30</v>
      </c>
      <c r="H5" s="136">
        <v>50</v>
      </c>
      <c r="I5" s="136">
        <v>40</v>
      </c>
      <c r="Q5" s="136">
        <v>70</v>
      </c>
      <c r="R5" s="136">
        <v>10</v>
      </c>
      <c r="S5" s="136">
        <v>90</v>
      </c>
      <c r="T5" s="136">
        <v>45</v>
      </c>
      <c r="U5" s="136">
        <v>55</v>
      </c>
      <c r="V5" s="136">
        <v>110</v>
      </c>
      <c r="W5" s="136">
        <v>55</v>
      </c>
    </row>
    <row r="6" spans="1:23">
      <c r="A6" s="133">
        <v>43379</v>
      </c>
      <c r="B6" s="173">
        <v>115</v>
      </c>
      <c r="C6" s="136">
        <v>45</v>
      </c>
      <c r="D6" s="136">
        <v>45</v>
      </c>
      <c r="E6" s="136">
        <v>50</v>
      </c>
      <c r="F6" s="136">
        <v>5.5</v>
      </c>
      <c r="G6" s="136">
        <v>30</v>
      </c>
      <c r="H6" s="136">
        <v>50</v>
      </c>
      <c r="I6" s="136">
        <v>40</v>
      </c>
      <c r="Q6" s="136">
        <v>70</v>
      </c>
      <c r="R6" s="136">
        <v>10</v>
      </c>
      <c r="S6" s="136">
        <v>90</v>
      </c>
      <c r="T6" s="136">
        <v>45</v>
      </c>
      <c r="U6" s="136">
        <v>55</v>
      </c>
      <c r="V6" s="136">
        <v>110</v>
      </c>
      <c r="W6" s="136">
        <v>55</v>
      </c>
    </row>
    <row r="7" spans="1:23">
      <c r="A7" s="133">
        <v>43384</v>
      </c>
      <c r="B7" s="173">
        <v>115</v>
      </c>
      <c r="C7" s="136">
        <v>45</v>
      </c>
      <c r="D7" s="136">
        <v>45</v>
      </c>
      <c r="E7" s="136">
        <v>50</v>
      </c>
      <c r="F7" s="136">
        <v>7</v>
      </c>
      <c r="G7" s="136">
        <v>35</v>
      </c>
      <c r="H7" s="136">
        <v>30</v>
      </c>
      <c r="I7" s="136">
        <v>40</v>
      </c>
    </row>
    <row r="8" spans="1:23">
      <c r="A8" s="133">
        <v>43391</v>
      </c>
      <c r="B8" s="173">
        <v>115</v>
      </c>
      <c r="C8" s="136">
        <v>45</v>
      </c>
      <c r="D8" s="136">
        <v>45</v>
      </c>
      <c r="E8" s="136">
        <v>50</v>
      </c>
      <c r="F8" s="136">
        <v>7</v>
      </c>
      <c r="G8" s="136">
        <v>35</v>
      </c>
      <c r="H8" s="136">
        <v>30</v>
      </c>
      <c r="I8" s="136">
        <v>40</v>
      </c>
      <c r="J8" s="136">
        <v>60</v>
      </c>
      <c r="K8" s="136">
        <v>60</v>
      </c>
      <c r="L8" s="136">
        <v>55</v>
      </c>
      <c r="M8" s="136">
        <v>40</v>
      </c>
      <c r="N8" s="136">
        <v>50</v>
      </c>
      <c r="O8" s="136">
        <v>60</v>
      </c>
      <c r="P8" s="136">
        <v>30</v>
      </c>
      <c r="Q8" s="136">
        <v>115</v>
      </c>
      <c r="R8" s="136">
        <v>10</v>
      </c>
      <c r="S8" s="136">
        <v>7</v>
      </c>
      <c r="T8" s="136">
        <v>45</v>
      </c>
      <c r="U8" s="136">
        <v>60</v>
      </c>
      <c r="V8" s="136">
        <v>110</v>
      </c>
      <c r="W8" s="136">
        <v>55</v>
      </c>
    </row>
    <row r="9" spans="1:23">
      <c r="A9" s="133">
        <v>43397</v>
      </c>
      <c r="B9" s="173">
        <v>115</v>
      </c>
      <c r="C9" s="136">
        <v>45</v>
      </c>
      <c r="D9" s="136">
        <v>45</v>
      </c>
      <c r="E9" s="136">
        <v>50</v>
      </c>
      <c r="F9" s="136">
        <v>7</v>
      </c>
      <c r="G9" s="136">
        <v>35</v>
      </c>
      <c r="H9" s="136">
        <v>30</v>
      </c>
      <c r="I9" s="136">
        <v>40</v>
      </c>
      <c r="J9" s="136">
        <v>60</v>
      </c>
      <c r="K9" s="136">
        <v>60</v>
      </c>
      <c r="L9" s="136">
        <v>55</v>
      </c>
      <c r="M9" s="136">
        <v>40</v>
      </c>
      <c r="N9" s="136">
        <v>50</v>
      </c>
      <c r="O9" s="136">
        <v>60</v>
      </c>
      <c r="P9" s="136">
        <v>30</v>
      </c>
      <c r="Q9" s="136">
        <v>115</v>
      </c>
      <c r="R9" s="136">
        <v>10</v>
      </c>
      <c r="S9" s="136">
        <v>7</v>
      </c>
      <c r="T9" s="136">
        <v>45</v>
      </c>
      <c r="U9" s="136">
        <v>60</v>
      </c>
      <c r="V9" s="136">
        <v>110</v>
      </c>
      <c r="W9" s="136">
        <v>55</v>
      </c>
    </row>
    <row r="10" spans="1:23">
      <c r="A10" s="133">
        <v>43404</v>
      </c>
      <c r="B10" s="173">
        <v>95</v>
      </c>
      <c r="C10" s="136">
        <v>45</v>
      </c>
      <c r="D10" s="136">
        <v>45</v>
      </c>
      <c r="E10" s="136">
        <v>50</v>
      </c>
      <c r="F10" s="136">
        <v>7</v>
      </c>
      <c r="G10" s="136">
        <v>35</v>
      </c>
      <c r="H10" s="136">
        <v>30</v>
      </c>
      <c r="I10" s="136">
        <v>40</v>
      </c>
      <c r="J10" s="136">
        <v>55</v>
      </c>
      <c r="K10" s="136">
        <v>60</v>
      </c>
      <c r="L10" s="136">
        <v>55</v>
      </c>
      <c r="M10" s="136">
        <v>40</v>
      </c>
      <c r="N10" s="136">
        <v>50</v>
      </c>
      <c r="O10" s="136">
        <v>60</v>
      </c>
      <c r="P10" s="136">
        <v>25</v>
      </c>
      <c r="Q10" s="136">
        <v>95</v>
      </c>
      <c r="R10" s="136">
        <v>10</v>
      </c>
      <c r="S10" s="136">
        <v>7</v>
      </c>
      <c r="T10" s="136">
        <v>45</v>
      </c>
      <c r="U10" s="136">
        <v>55</v>
      </c>
      <c r="V10" s="136">
        <v>110</v>
      </c>
      <c r="W10" s="136">
        <v>55</v>
      </c>
    </row>
    <row r="11" spans="1:23">
      <c r="A11" s="133">
        <v>43411</v>
      </c>
      <c r="B11" s="173">
        <v>95</v>
      </c>
      <c r="C11" s="136">
        <v>45</v>
      </c>
      <c r="D11" s="136">
        <v>45</v>
      </c>
      <c r="E11" s="136">
        <v>50</v>
      </c>
      <c r="F11" s="136">
        <v>7</v>
      </c>
      <c r="G11" s="136">
        <v>35</v>
      </c>
      <c r="H11" s="136">
        <v>30</v>
      </c>
      <c r="I11" s="136">
        <v>40</v>
      </c>
      <c r="J11" s="136">
        <v>55</v>
      </c>
      <c r="K11" s="136">
        <v>60</v>
      </c>
      <c r="L11" s="136">
        <v>55</v>
      </c>
      <c r="M11" s="136">
        <v>40</v>
      </c>
      <c r="N11" s="136">
        <v>50</v>
      </c>
      <c r="O11" s="136">
        <v>60</v>
      </c>
      <c r="P11" s="136">
        <v>25</v>
      </c>
      <c r="Q11" s="136">
        <v>95</v>
      </c>
      <c r="R11" s="136">
        <v>15</v>
      </c>
      <c r="S11" s="136">
        <v>7</v>
      </c>
      <c r="T11" s="136">
        <v>45</v>
      </c>
      <c r="U11" s="136">
        <v>55</v>
      </c>
      <c r="V11" s="136">
        <v>100</v>
      </c>
      <c r="W11" s="136">
        <v>55</v>
      </c>
    </row>
    <row r="12" spans="1:23">
      <c r="A12" s="133">
        <v>43418</v>
      </c>
      <c r="B12" s="173">
        <v>95</v>
      </c>
      <c r="C12" s="136">
        <v>45</v>
      </c>
      <c r="D12" s="136">
        <v>45</v>
      </c>
      <c r="E12" s="136">
        <v>50</v>
      </c>
      <c r="F12" s="136">
        <v>7</v>
      </c>
      <c r="G12" s="136">
        <v>35</v>
      </c>
      <c r="H12" s="136">
        <v>30</v>
      </c>
      <c r="I12" s="136">
        <v>40</v>
      </c>
      <c r="J12" s="136">
        <v>55</v>
      </c>
      <c r="K12" s="136">
        <v>60</v>
      </c>
      <c r="L12" s="136">
        <v>55</v>
      </c>
      <c r="M12" s="136">
        <v>40</v>
      </c>
      <c r="N12" s="136">
        <v>50</v>
      </c>
      <c r="O12" s="136">
        <v>60</v>
      </c>
      <c r="P12" s="136">
        <v>25</v>
      </c>
      <c r="Q12" s="136">
        <v>95</v>
      </c>
      <c r="R12" s="136">
        <v>15</v>
      </c>
      <c r="S12" s="136">
        <v>7</v>
      </c>
      <c r="T12" s="136">
        <v>45</v>
      </c>
      <c r="U12" s="136">
        <v>55</v>
      </c>
      <c r="V12" s="136">
        <v>100</v>
      </c>
      <c r="W12" s="136">
        <v>55</v>
      </c>
    </row>
    <row r="13" spans="1:23">
      <c r="A13" s="133">
        <v>43425</v>
      </c>
      <c r="B13" s="173">
        <v>95</v>
      </c>
      <c r="C13" s="136">
        <v>45</v>
      </c>
      <c r="D13" s="136">
        <v>45</v>
      </c>
      <c r="E13" s="136">
        <v>50</v>
      </c>
      <c r="F13" s="136">
        <v>7</v>
      </c>
      <c r="G13" s="136">
        <v>35</v>
      </c>
      <c r="H13" s="136">
        <v>30</v>
      </c>
      <c r="I13" s="136">
        <v>40</v>
      </c>
      <c r="J13" s="136">
        <v>55</v>
      </c>
      <c r="K13" s="136">
        <v>60</v>
      </c>
      <c r="L13" s="136">
        <v>55</v>
      </c>
      <c r="M13" s="136">
        <v>40</v>
      </c>
      <c r="N13" s="136">
        <v>50</v>
      </c>
      <c r="O13" s="136">
        <v>60</v>
      </c>
      <c r="P13" s="136">
        <v>25</v>
      </c>
      <c r="Q13" s="136">
        <v>95</v>
      </c>
      <c r="R13" s="136">
        <v>15</v>
      </c>
      <c r="S13" s="136">
        <v>7</v>
      </c>
      <c r="T13" s="136">
        <v>45</v>
      </c>
      <c r="U13" s="136">
        <v>55</v>
      </c>
      <c r="V13" s="136">
        <v>100</v>
      </c>
      <c r="W13" s="136">
        <v>55</v>
      </c>
    </row>
    <row r="14" spans="1:23">
      <c r="A14" s="133">
        <v>43432</v>
      </c>
      <c r="B14" s="173">
        <v>75</v>
      </c>
      <c r="C14" s="136">
        <v>25</v>
      </c>
      <c r="D14" s="136">
        <v>35</v>
      </c>
      <c r="E14" s="136">
        <v>45</v>
      </c>
      <c r="F14" s="136">
        <v>7</v>
      </c>
      <c r="G14" s="136">
        <v>35</v>
      </c>
      <c r="H14" s="136">
        <v>25</v>
      </c>
      <c r="I14" s="136">
        <v>35</v>
      </c>
      <c r="J14" s="136">
        <v>35</v>
      </c>
      <c r="K14" s="136">
        <v>40</v>
      </c>
      <c r="L14" s="136">
        <v>45</v>
      </c>
      <c r="M14" s="136">
        <v>30</v>
      </c>
      <c r="N14" s="136">
        <v>35</v>
      </c>
      <c r="O14" s="136">
        <v>45</v>
      </c>
      <c r="P14" s="136">
        <v>30</v>
      </c>
      <c r="Q14" s="136">
        <v>55</v>
      </c>
      <c r="R14" s="136">
        <v>10</v>
      </c>
      <c r="S14" s="136">
        <v>7</v>
      </c>
      <c r="T14" s="136">
        <v>25</v>
      </c>
      <c r="U14" s="136">
        <v>60</v>
      </c>
      <c r="V14" s="136">
        <v>55</v>
      </c>
      <c r="W14" s="136">
        <v>25</v>
      </c>
    </row>
    <row r="15" spans="1:23">
      <c r="A15" s="133">
        <v>43439</v>
      </c>
      <c r="B15" s="173">
        <v>75</v>
      </c>
      <c r="C15" s="136">
        <v>25</v>
      </c>
      <c r="D15" s="136">
        <v>35</v>
      </c>
      <c r="E15" s="136">
        <v>45</v>
      </c>
      <c r="F15" s="136">
        <v>7</v>
      </c>
      <c r="G15" s="136">
        <v>35</v>
      </c>
      <c r="H15" s="136">
        <v>25</v>
      </c>
      <c r="I15" s="136">
        <v>35</v>
      </c>
      <c r="J15" s="136">
        <v>35</v>
      </c>
      <c r="K15" s="136">
        <v>40</v>
      </c>
      <c r="L15" s="136">
        <v>45</v>
      </c>
      <c r="M15" s="136">
        <v>30</v>
      </c>
      <c r="N15" s="136">
        <v>35</v>
      </c>
      <c r="O15" s="136">
        <v>45</v>
      </c>
      <c r="P15" s="136">
        <v>30</v>
      </c>
      <c r="Q15" s="136">
        <v>55</v>
      </c>
      <c r="R15" s="136">
        <v>10</v>
      </c>
      <c r="S15" s="136">
        <v>7</v>
      </c>
      <c r="T15" s="136">
        <v>25</v>
      </c>
      <c r="U15" s="136">
        <v>60</v>
      </c>
      <c r="V15" s="136">
        <v>55</v>
      </c>
      <c r="W15" s="136">
        <v>25</v>
      </c>
    </row>
    <row r="16" spans="1:23">
      <c r="A16" s="133">
        <v>43446</v>
      </c>
      <c r="B16" s="173">
        <v>75</v>
      </c>
      <c r="C16" s="136">
        <v>25</v>
      </c>
      <c r="D16" s="136">
        <v>35</v>
      </c>
      <c r="E16" s="136">
        <v>45</v>
      </c>
      <c r="F16" s="136">
        <v>7</v>
      </c>
      <c r="G16" s="136">
        <v>35</v>
      </c>
      <c r="H16" s="136">
        <v>25</v>
      </c>
      <c r="I16" s="136">
        <v>35</v>
      </c>
      <c r="J16" s="136">
        <v>35</v>
      </c>
      <c r="K16" s="136">
        <v>40</v>
      </c>
      <c r="L16" s="136">
        <v>45</v>
      </c>
      <c r="M16" s="136">
        <v>30</v>
      </c>
      <c r="N16" s="136">
        <v>35</v>
      </c>
      <c r="O16" s="136">
        <v>45</v>
      </c>
      <c r="P16" s="136">
        <v>30</v>
      </c>
      <c r="Q16" s="136">
        <v>55</v>
      </c>
      <c r="R16" s="136">
        <v>10</v>
      </c>
      <c r="S16" s="136">
        <v>7</v>
      </c>
      <c r="T16" s="136">
        <v>25</v>
      </c>
      <c r="U16" s="136">
        <v>60</v>
      </c>
      <c r="V16" s="136">
        <v>55</v>
      </c>
      <c r="W16" s="136">
        <v>25</v>
      </c>
    </row>
    <row r="17" spans="1:23">
      <c r="A17" s="133">
        <v>43453</v>
      </c>
      <c r="B17" s="173">
        <v>75</v>
      </c>
      <c r="C17" s="136">
        <v>25</v>
      </c>
      <c r="D17" s="136">
        <v>30</v>
      </c>
      <c r="E17" s="136">
        <v>40</v>
      </c>
      <c r="F17" s="136">
        <v>6</v>
      </c>
      <c r="G17" s="136">
        <v>30</v>
      </c>
      <c r="H17" s="136">
        <v>25</v>
      </c>
      <c r="I17" s="136">
        <v>25</v>
      </c>
      <c r="J17" s="136">
        <v>30</v>
      </c>
      <c r="K17" s="136">
        <v>40</v>
      </c>
      <c r="L17" s="136">
        <v>40</v>
      </c>
      <c r="M17" s="136">
        <v>20</v>
      </c>
      <c r="N17" s="136">
        <v>30</v>
      </c>
      <c r="O17" s="136">
        <v>40</v>
      </c>
      <c r="P17" s="136">
        <v>30</v>
      </c>
      <c r="Q17" s="136">
        <v>40</v>
      </c>
      <c r="R17" s="136">
        <v>10</v>
      </c>
      <c r="S17" s="136">
        <v>8</v>
      </c>
      <c r="T17" s="136">
        <v>20</v>
      </c>
      <c r="U17" s="136">
        <v>40</v>
      </c>
      <c r="V17" s="136">
        <v>35</v>
      </c>
      <c r="W17" s="136">
        <v>20</v>
      </c>
    </row>
    <row r="18" spans="1:23">
      <c r="A18" s="133">
        <v>43460</v>
      </c>
      <c r="B18" s="173">
        <v>75</v>
      </c>
      <c r="C18" s="136">
        <v>25</v>
      </c>
      <c r="D18" s="136">
        <v>30</v>
      </c>
      <c r="E18" s="136">
        <v>40</v>
      </c>
      <c r="F18" s="136">
        <v>6</v>
      </c>
      <c r="G18" s="136">
        <v>30</v>
      </c>
      <c r="H18" s="136">
        <v>25</v>
      </c>
      <c r="I18" s="136">
        <v>25</v>
      </c>
      <c r="J18" s="136">
        <v>30</v>
      </c>
      <c r="K18" s="136">
        <v>40</v>
      </c>
      <c r="L18" s="136">
        <v>40</v>
      </c>
      <c r="M18" s="136">
        <v>20</v>
      </c>
      <c r="N18" s="136">
        <v>30</v>
      </c>
      <c r="O18" s="136">
        <v>40</v>
      </c>
      <c r="P18" s="136">
        <v>30</v>
      </c>
      <c r="Q18" s="136">
        <v>40</v>
      </c>
      <c r="R18" s="136">
        <v>10</v>
      </c>
      <c r="S18" s="136">
        <v>8</v>
      </c>
      <c r="T18" s="136">
        <v>20</v>
      </c>
      <c r="U18" s="136">
        <v>40</v>
      </c>
      <c r="V18" s="136">
        <v>35</v>
      </c>
      <c r="W18" s="136">
        <v>20</v>
      </c>
    </row>
    <row r="19" spans="1:23">
      <c r="A19" s="133">
        <v>43467</v>
      </c>
      <c r="B19" s="173">
        <v>75</v>
      </c>
      <c r="C19" s="136">
        <v>25</v>
      </c>
      <c r="D19" s="136">
        <v>30</v>
      </c>
      <c r="E19" s="136">
        <v>40</v>
      </c>
      <c r="F19" s="136">
        <v>6</v>
      </c>
      <c r="G19" s="136">
        <v>30</v>
      </c>
      <c r="H19" s="136">
        <v>25</v>
      </c>
      <c r="I19" s="136">
        <v>25</v>
      </c>
      <c r="J19" s="136">
        <v>30</v>
      </c>
      <c r="K19" s="136">
        <v>40</v>
      </c>
      <c r="L19" s="136">
        <v>40</v>
      </c>
      <c r="M19" s="136">
        <v>20</v>
      </c>
      <c r="N19" s="136">
        <v>30</v>
      </c>
      <c r="O19" s="136">
        <v>40</v>
      </c>
      <c r="P19" s="136">
        <v>30</v>
      </c>
      <c r="Q19" s="136">
        <v>40</v>
      </c>
      <c r="R19" s="136">
        <v>10</v>
      </c>
      <c r="S19" s="136">
        <v>8</v>
      </c>
      <c r="T19" s="136">
        <v>20</v>
      </c>
      <c r="U19" s="136">
        <v>40</v>
      </c>
      <c r="V19" s="136">
        <v>35</v>
      </c>
      <c r="W19" s="136">
        <v>20</v>
      </c>
    </row>
    <row r="20" spans="1:23">
      <c r="A20" s="133">
        <v>43474</v>
      </c>
      <c r="B20" s="173">
        <v>75</v>
      </c>
      <c r="C20" s="136">
        <v>25</v>
      </c>
      <c r="D20" s="136">
        <v>30</v>
      </c>
      <c r="E20" s="136">
        <v>40</v>
      </c>
      <c r="F20" s="136">
        <v>6</v>
      </c>
      <c r="G20" s="136">
        <v>30</v>
      </c>
      <c r="H20" s="136">
        <v>25</v>
      </c>
      <c r="I20" s="136">
        <v>25</v>
      </c>
      <c r="J20" s="136">
        <v>30</v>
      </c>
      <c r="K20" s="136">
        <v>40</v>
      </c>
      <c r="L20" s="136">
        <v>40</v>
      </c>
      <c r="M20" s="136">
        <v>20</v>
      </c>
      <c r="N20" s="136">
        <v>30</v>
      </c>
      <c r="O20" s="136">
        <v>40</v>
      </c>
      <c r="P20" s="136">
        <v>30</v>
      </c>
      <c r="Q20" s="136">
        <v>40</v>
      </c>
      <c r="R20" s="136">
        <v>10</v>
      </c>
      <c r="S20" s="136">
        <v>8</v>
      </c>
      <c r="T20" s="136">
        <v>20</v>
      </c>
      <c r="U20" s="136">
        <v>40</v>
      </c>
      <c r="V20" s="136">
        <v>35</v>
      </c>
      <c r="W20" s="136">
        <v>20</v>
      </c>
    </row>
    <row r="21" spans="1:23">
      <c r="A21" s="133">
        <v>43481</v>
      </c>
      <c r="B21" s="173">
        <v>70</v>
      </c>
      <c r="C21" s="136">
        <v>25</v>
      </c>
      <c r="D21" s="136">
        <v>30</v>
      </c>
      <c r="E21" s="136">
        <v>40</v>
      </c>
      <c r="F21" s="136">
        <v>6</v>
      </c>
      <c r="G21" s="136">
        <v>30</v>
      </c>
      <c r="H21" s="136">
        <v>25</v>
      </c>
      <c r="I21" s="136">
        <v>25</v>
      </c>
      <c r="J21" s="136">
        <v>30</v>
      </c>
      <c r="K21" s="136">
        <v>40</v>
      </c>
      <c r="L21" s="136">
        <v>40</v>
      </c>
      <c r="M21" s="136">
        <v>20</v>
      </c>
      <c r="N21" s="136">
        <v>30</v>
      </c>
      <c r="O21" s="136">
        <v>40</v>
      </c>
      <c r="P21" s="136">
        <v>30</v>
      </c>
      <c r="Q21" s="136">
        <v>40</v>
      </c>
      <c r="R21" s="136">
        <v>10</v>
      </c>
      <c r="S21" s="136">
        <v>8</v>
      </c>
      <c r="T21" s="136">
        <v>20</v>
      </c>
      <c r="U21" s="136">
        <v>40</v>
      </c>
      <c r="V21" s="136">
        <v>35</v>
      </c>
      <c r="W21" s="136">
        <v>20</v>
      </c>
    </row>
    <row r="22" spans="1:23">
      <c r="A22" s="133">
        <v>43488</v>
      </c>
      <c r="B22" s="173">
        <v>55</v>
      </c>
      <c r="C22" s="136">
        <v>40</v>
      </c>
      <c r="D22" s="136">
        <v>30</v>
      </c>
      <c r="E22" s="136">
        <v>25</v>
      </c>
      <c r="F22" s="136">
        <v>7</v>
      </c>
      <c r="G22" s="136">
        <v>30</v>
      </c>
      <c r="H22" s="136">
        <v>25</v>
      </c>
      <c r="I22" s="136">
        <v>25</v>
      </c>
      <c r="J22" s="136">
        <v>30</v>
      </c>
      <c r="K22" s="136">
        <v>40</v>
      </c>
      <c r="L22" s="136">
        <v>40</v>
      </c>
      <c r="M22" s="136">
        <v>20</v>
      </c>
      <c r="N22" s="136">
        <v>30</v>
      </c>
      <c r="O22" s="136">
        <v>40</v>
      </c>
      <c r="P22" s="136">
        <v>30</v>
      </c>
      <c r="Q22" s="136">
        <v>40</v>
      </c>
      <c r="R22" s="136">
        <v>10</v>
      </c>
      <c r="S22" s="136">
        <v>7</v>
      </c>
      <c r="T22" s="136">
        <v>18</v>
      </c>
      <c r="U22" s="136">
        <v>30</v>
      </c>
      <c r="V22" s="136">
        <v>25</v>
      </c>
      <c r="W22" s="136">
        <v>15</v>
      </c>
    </row>
    <row r="23" spans="1:23">
      <c r="A23" s="133">
        <v>43495</v>
      </c>
      <c r="B23" s="173">
        <v>55</v>
      </c>
      <c r="C23" s="136">
        <v>40</v>
      </c>
      <c r="D23" s="136">
        <v>30</v>
      </c>
      <c r="E23" s="136">
        <v>25</v>
      </c>
      <c r="F23" s="136">
        <v>7</v>
      </c>
      <c r="G23" s="136">
        <v>30</v>
      </c>
      <c r="H23" s="136">
        <v>25</v>
      </c>
      <c r="I23" s="136">
        <v>25</v>
      </c>
      <c r="J23" s="136">
        <v>30</v>
      </c>
      <c r="K23" s="136">
        <v>40</v>
      </c>
      <c r="L23" s="136">
        <v>40</v>
      </c>
      <c r="M23" s="136">
        <v>20</v>
      </c>
      <c r="N23" s="136">
        <v>30</v>
      </c>
      <c r="O23" s="136">
        <v>40</v>
      </c>
      <c r="P23" s="136">
        <v>30</v>
      </c>
      <c r="Q23" s="136">
        <v>40</v>
      </c>
      <c r="R23" s="136">
        <v>10</v>
      </c>
      <c r="S23" s="136">
        <v>7</v>
      </c>
      <c r="T23" s="136">
        <v>18</v>
      </c>
      <c r="U23" s="136">
        <v>30</v>
      </c>
      <c r="V23" s="136">
        <v>25</v>
      </c>
      <c r="W23" s="136">
        <v>15</v>
      </c>
    </row>
    <row r="24" spans="1:23">
      <c r="A24" s="133">
        <v>43506</v>
      </c>
      <c r="B24" s="173">
        <v>35</v>
      </c>
      <c r="C24" s="136">
        <v>30</v>
      </c>
      <c r="D24" s="136">
        <v>20</v>
      </c>
      <c r="E24" s="136">
        <v>15</v>
      </c>
      <c r="F24" s="136">
        <v>5</v>
      </c>
      <c r="G24" s="136">
        <v>25</v>
      </c>
      <c r="H24" s="136">
        <v>20</v>
      </c>
      <c r="I24" s="136">
        <v>20</v>
      </c>
      <c r="J24" s="136">
        <v>20</v>
      </c>
      <c r="K24" s="136">
        <v>25</v>
      </c>
      <c r="L24" s="136">
        <v>30</v>
      </c>
      <c r="M24" s="136">
        <v>20</v>
      </c>
      <c r="N24" s="136">
        <v>25</v>
      </c>
      <c r="O24" s="136">
        <v>40</v>
      </c>
      <c r="P24" s="136">
        <v>25</v>
      </c>
      <c r="Q24" s="136">
        <v>25</v>
      </c>
      <c r="R24" s="136">
        <v>10</v>
      </c>
      <c r="S24" s="136">
        <v>8</v>
      </c>
      <c r="T24" s="136">
        <v>15</v>
      </c>
      <c r="U24" s="136">
        <v>30</v>
      </c>
      <c r="V24" s="136">
        <v>15</v>
      </c>
      <c r="W24" s="136">
        <v>10</v>
      </c>
    </row>
    <row r="25" spans="1:23">
      <c r="A25" s="133">
        <v>43516</v>
      </c>
      <c r="B25" s="173">
        <v>30</v>
      </c>
      <c r="C25" s="136">
        <v>20</v>
      </c>
      <c r="D25" s="136">
        <v>15</v>
      </c>
      <c r="E25" s="136">
        <v>15</v>
      </c>
      <c r="F25" s="136">
        <v>5</v>
      </c>
      <c r="G25" s="136">
        <v>25</v>
      </c>
      <c r="H25" s="136">
        <v>20</v>
      </c>
      <c r="I25" s="136">
        <v>20</v>
      </c>
      <c r="J25" s="136">
        <v>20</v>
      </c>
      <c r="K25" s="136">
        <v>25</v>
      </c>
      <c r="L25" s="136">
        <v>30</v>
      </c>
      <c r="M25" s="136">
        <v>20</v>
      </c>
      <c r="N25" s="136">
        <v>25</v>
      </c>
      <c r="O25" s="136">
        <v>45</v>
      </c>
      <c r="P25" s="136">
        <v>25</v>
      </c>
      <c r="Q25" s="136">
        <v>25</v>
      </c>
      <c r="R25" s="136">
        <v>10</v>
      </c>
      <c r="S25" s="136">
        <v>8</v>
      </c>
      <c r="T25" s="136">
        <v>15</v>
      </c>
      <c r="U25" s="136">
        <v>20</v>
      </c>
      <c r="V25" s="136">
        <v>15</v>
      </c>
      <c r="W25" s="136">
        <v>10</v>
      </c>
    </row>
    <row r="26" spans="1:23">
      <c r="A26" s="133">
        <v>43523</v>
      </c>
      <c r="B26" s="173">
        <v>30</v>
      </c>
      <c r="C26" s="136">
        <v>20</v>
      </c>
      <c r="D26" s="136">
        <v>15</v>
      </c>
      <c r="E26" s="136">
        <v>15</v>
      </c>
      <c r="F26" s="136">
        <v>5</v>
      </c>
      <c r="G26" s="136">
        <v>25</v>
      </c>
      <c r="H26" s="136">
        <v>20</v>
      </c>
      <c r="I26" s="136">
        <v>20</v>
      </c>
      <c r="J26" s="136">
        <v>20</v>
      </c>
      <c r="K26" s="136">
        <v>25</v>
      </c>
      <c r="L26" s="136">
        <v>30</v>
      </c>
      <c r="M26" s="136">
        <v>20</v>
      </c>
      <c r="N26" s="136">
        <v>25</v>
      </c>
      <c r="O26" s="136">
        <v>45</v>
      </c>
      <c r="P26" s="136">
        <v>25</v>
      </c>
      <c r="Q26" s="136">
        <v>25</v>
      </c>
      <c r="R26" s="136">
        <v>10</v>
      </c>
      <c r="S26" s="136">
        <v>8</v>
      </c>
      <c r="T26" s="136">
        <v>15</v>
      </c>
      <c r="U26" s="136">
        <v>20</v>
      </c>
      <c r="V26" s="136">
        <v>15</v>
      </c>
      <c r="W26" s="136">
        <v>10</v>
      </c>
    </row>
    <row r="27" spans="1:23">
      <c r="A27" s="133">
        <v>43530</v>
      </c>
      <c r="B27" s="173">
        <v>30</v>
      </c>
      <c r="C27" s="136">
        <v>20</v>
      </c>
      <c r="D27" s="136">
        <v>15</v>
      </c>
      <c r="E27" s="136">
        <v>15</v>
      </c>
      <c r="F27" s="136">
        <v>5</v>
      </c>
      <c r="G27" s="136">
        <v>25</v>
      </c>
      <c r="H27" s="136">
        <v>20</v>
      </c>
      <c r="I27" s="136">
        <v>20</v>
      </c>
      <c r="J27" s="136">
        <v>20</v>
      </c>
      <c r="K27" s="136">
        <v>25</v>
      </c>
      <c r="L27" s="136">
        <v>30</v>
      </c>
      <c r="M27" s="136">
        <v>20</v>
      </c>
      <c r="N27" s="136">
        <v>25</v>
      </c>
      <c r="O27" s="136">
        <v>45</v>
      </c>
      <c r="P27" s="136">
        <v>25</v>
      </c>
      <c r="Q27" s="136">
        <v>25</v>
      </c>
      <c r="R27" s="136">
        <v>10</v>
      </c>
      <c r="S27" s="136">
        <v>8</v>
      </c>
      <c r="T27" s="136">
        <v>15</v>
      </c>
      <c r="U27" s="136">
        <v>20</v>
      </c>
      <c r="V27" s="136">
        <v>15</v>
      </c>
      <c r="W27" s="136">
        <v>10</v>
      </c>
    </row>
    <row r="28" spans="1:23">
      <c r="A28" s="133">
        <v>43544</v>
      </c>
      <c r="B28" s="173">
        <v>30</v>
      </c>
      <c r="C28" s="136">
        <v>20</v>
      </c>
      <c r="D28" s="136">
        <v>15</v>
      </c>
      <c r="E28" s="136">
        <v>15</v>
      </c>
      <c r="F28" s="136">
        <v>5</v>
      </c>
      <c r="G28" s="136">
        <v>25</v>
      </c>
      <c r="H28" s="136">
        <v>20</v>
      </c>
      <c r="I28" s="136">
        <v>20</v>
      </c>
      <c r="J28" s="136">
        <v>20</v>
      </c>
      <c r="K28" s="136">
        <v>25</v>
      </c>
      <c r="L28" s="136">
        <v>30</v>
      </c>
      <c r="M28" s="136">
        <v>20</v>
      </c>
      <c r="N28" s="136">
        <v>25</v>
      </c>
      <c r="O28" s="136">
        <v>45</v>
      </c>
      <c r="P28" s="136">
        <v>25</v>
      </c>
      <c r="Q28" s="136">
        <v>25</v>
      </c>
      <c r="R28" s="136">
        <v>10</v>
      </c>
      <c r="S28" s="136">
        <v>8</v>
      </c>
      <c r="T28" s="136">
        <v>15</v>
      </c>
      <c r="U28" s="136">
        <v>20</v>
      </c>
      <c r="V28" s="136">
        <v>15</v>
      </c>
      <c r="W28" s="136">
        <v>10</v>
      </c>
    </row>
    <row r="29" spans="1:23">
      <c r="A29" s="133">
        <v>43551</v>
      </c>
      <c r="B29" s="173">
        <v>30</v>
      </c>
      <c r="C29" s="136">
        <v>20</v>
      </c>
      <c r="D29" s="136">
        <v>15</v>
      </c>
      <c r="E29" s="136">
        <v>15</v>
      </c>
      <c r="F29" s="136">
        <v>5</v>
      </c>
      <c r="G29" s="136">
        <v>25</v>
      </c>
      <c r="H29" s="136">
        <v>20</v>
      </c>
      <c r="I29" s="136">
        <v>20</v>
      </c>
      <c r="J29" s="136">
        <v>20</v>
      </c>
      <c r="K29" s="136">
        <v>25</v>
      </c>
      <c r="L29" s="136">
        <v>30</v>
      </c>
      <c r="M29" s="136">
        <v>20</v>
      </c>
      <c r="N29" s="136">
        <v>25</v>
      </c>
      <c r="O29" s="136">
        <v>45</v>
      </c>
      <c r="P29" s="136">
        <v>25</v>
      </c>
      <c r="Q29" s="136">
        <v>25</v>
      </c>
      <c r="R29" s="136">
        <v>10</v>
      </c>
      <c r="S29" s="136">
        <v>8</v>
      </c>
      <c r="T29" s="136">
        <v>15</v>
      </c>
      <c r="U29" s="136">
        <v>20</v>
      </c>
      <c r="V29" s="136">
        <v>15</v>
      </c>
      <c r="W29" s="136">
        <v>10</v>
      </c>
    </row>
    <row r="30" spans="1:23">
      <c r="A30" s="133">
        <v>43557</v>
      </c>
      <c r="B30" s="173">
        <v>30</v>
      </c>
      <c r="C30" s="136">
        <v>20</v>
      </c>
      <c r="D30" s="136">
        <v>15</v>
      </c>
      <c r="E30" s="136">
        <v>15</v>
      </c>
      <c r="F30" s="136">
        <v>5</v>
      </c>
      <c r="G30" s="136">
        <v>25</v>
      </c>
      <c r="H30" s="136">
        <v>20</v>
      </c>
      <c r="I30" s="136">
        <v>20</v>
      </c>
      <c r="J30" s="136">
        <v>20</v>
      </c>
      <c r="K30" s="136">
        <v>25</v>
      </c>
      <c r="L30" s="136">
        <v>30</v>
      </c>
      <c r="M30" s="136">
        <v>20</v>
      </c>
      <c r="N30" s="136">
        <v>25</v>
      </c>
      <c r="O30" s="136">
        <v>45</v>
      </c>
      <c r="P30" s="136">
        <v>25</v>
      </c>
      <c r="Q30" s="136">
        <v>25</v>
      </c>
      <c r="R30" s="136">
        <v>10</v>
      </c>
      <c r="S30" s="136">
        <v>8</v>
      </c>
      <c r="T30" s="136">
        <v>15</v>
      </c>
      <c r="U30" s="136">
        <v>20</v>
      </c>
      <c r="V30" s="136">
        <v>15</v>
      </c>
      <c r="W30" s="136">
        <v>10</v>
      </c>
    </row>
    <row r="31" spans="1:23">
      <c r="A31" s="133">
        <v>43565</v>
      </c>
      <c r="B31" s="173">
        <v>30</v>
      </c>
      <c r="C31" s="136">
        <v>20</v>
      </c>
      <c r="D31" s="136">
        <v>15</v>
      </c>
      <c r="E31" s="136">
        <v>15</v>
      </c>
      <c r="F31" s="136">
        <v>5</v>
      </c>
      <c r="G31" s="136">
        <v>25</v>
      </c>
      <c r="H31" s="136">
        <v>20</v>
      </c>
      <c r="I31" s="136">
        <v>20</v>
      </c>
      <c r="J31" s="136">
        <v>20</v>
      </c>
      <c r="K31" s="136">
        <v>25</v>
      </c>
      <c r="L31" s="136">
        <v>30</v>
      </c>
      <c r="M31" s="136">
        <v>20</v>
      </c>
      <c r="N31" s="136">
        <v>25</v>
      </c>
      <c r="O31" s="136">
        <v>45</v>
      </c>
      <c r="P31" s="136">
        <v>25</v>
      </c>
      <c r="Q31" s="136">
        <v>25</v>
      </c>
      <c r="R31" s="136">
        <v>10</v>
      </c>
      <c r="S31" s="136">
        <v>8</v>
      </c>
      <c r="T31" s="136">
        <v>15</v>
      </c>
      <c r="U31" s="136">
        <v>20</v>
      </c>
      <c r="V31" s="136">
        <v>15</v>
      </c>
      <c r="W31" s="136">
        <v>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defaultRowHeight="13.5"/>
  <cols>
    <col min="1" max="1" width="11.375" bestFit="1" customWidth="1"/>
    <col min="2" max="2" width="15.125" bestFit="1" customWidth="1"/>
    <col min="3" max="4" width="13" bestFit="1" customWidth="1"/>
    <col min="5" max="5" width="11" bestFit="1" customWidth="1"/>
    <col min="6" max="6" width="15.125" bestFit="1" customWidth="1"/>
    <col min="7" max="8" width="13" bestFit="1" customWidth="1"/>
    <col min="9" max="9" width="11" bestFit="1" customWidth="1"/>
    <col min="10" max="10" width="15.125" bestFit="1" customWidth="1"/>
    <col min="11" max="12" width="13" bestFit="1" customWidth="1"/>
    <col min="13" max="13" width="11" bestFit="1" customWidth="1"/>
  </cols>
  <sheetData>
    <row r="1" spans="1:13" s="556" customFormat="1">
      <c r="B1" s="633" t="s">
        <v>510</v>
      </c>
      <c r="C1" s="633"/>
      <c r="D1" s="633"/>
      <c r="E1" s="633"/>
      <c r="F1" s="633" t="s">
        <v>511</v>
      </c>
      <c r="G1" s="633"/>
      <c r="H1" s="633"/>
      <c r="I1" s="633"/>
      <c r="J1" s="633" t="s">
        <v>512</v>
      </c>
      <c r="K1" s="633"/>
      <c r="L1" s="633"/>
      <c r="M1" s="633"/>
    </row>
    <row r="2" spans="1:13">
      <c r="A2" t="s">
        <v>505</v>
      </c>
      <c r="B2" t="s">
        <v>506</v>
      </c>
      <c r="C2" t="s">
        <v>507</v>
      </c>
      <c r="D2" t="s">
        <v>508</v>
      </c>
      <c r="E2" t="s">
        <v>509</v>
      </c>
      <c r="F2" s="556" t="s">
        <v>506</v>
      </c>
      <c r="G2" s="556" t="s">
        <v>507</v>
      </c>
      <c r="H2" s="556" t="s">
        <v>508</v>
      </c>
      <c r="I2" s="556" t="s">
        <v>509</v>
      </c>
      <c r="J2" s="556" t="s">
        <v>506</v>
      </c>
      <c r="K2" s="556" t="s">
        <v>507</v>
      </c>
      <c r="L2" s="556" t="s">
        <v>508</v>
      </c>
      <c r="M2" s="556" t="s">
        <v>509</v>
      </c>
    </row>
    <row r="3" spans="1:13">
      <c r="A3" s="489">
        <v>41791</v>
      </c>
    </row>
    <row r="4" spans="1:13">
      <c r="A4" s="489">
        <v>41821</v>
      </c>
    </row>
    <row r="5" spans="1:13">
      <c r="A5" s="489">
        <v>41852</v>
      </c>
    </row>
    <row r="6" spans="1:13">
      <c r="A6" s="489">
        <v>41883</v>
      </c>
    </row>
    <row r="7" spans="1:13">
      <c r="A7" s="489">
        <v>41913</v>
      </c>
    </row>
    <row r="8" spans="1:13">
      <c r="A8" s="489">
        <v>41944</v>
      </c>
    </row>
    <row r="9" spans="1:13">
      <c r="A9" s="489">
        <v>41974</v>
      </c>
    </row>
    <row r="10" spans="1:13">
      <c r="A10" s="489">
        <v>42005</v>
      </c>
    </row>
    <row r="11" spans="1:13">
      <c r="A11" s="489">
        <v>42036</v>
      </c>
    </row>
    <row r="12" spans="1:13">
      <c r="A12" s="489">
        <v>42064</v>
      </c>
    </row>
    <row r="13" spans="1:13">
      <c r="A13" s="489">
        <v>42095</v>
      </c>
    </row>
    <row r="14" spans="1:13">
      <c r="A14" s="489">
        <v>42125</v>
      </c>
    </row>
    <row r="15" spans="1:13">
      <c r="A15" s="489">
        <v>42156</v>
      </c>
    </row>
    <row r="16" spans="1:13">
      <c r="A16" s="489">
        <v>42186</v>
      </c>
    </row>
    <row r="17" spans="1:1">
      <c r="A17" s="489">
        <v>42217</v>
      </c>
    </row>
    <row r="18" spans="1:1">
      <c r="A18" s="489">
        <v>42248</v>
      </c>
    </row>
    <row r="19" spans="1:1">
      <c r="A19" s="489">
        <v>42278</v>
      </c>
    </row>
    <row r="20" spans="1:1">
      <c r="A20" s="489">
        <v>42309</v>
      </c>
    </row>
    <row r="21" spans="1:1">
      <c r="A21" s="489">
        <v>42339</v>
      </c>
    </row>
    <row r="22" spans="1:1">
      <c r="A22" s="489">
        <v>42370</v>
      </c>
    </row>
    <row r="23" spans="1:1">
      <c r="A23" s="489">
        <v>42401</v>
      </c>
    </row>
    <row r="24" spans="1:1">
      <c r="A24" s="489">
        <v>42430</v>
      </c>
    </row>
    <row r="25" spans="1:1">
      <c r="A25" s="489">
        <v>42461</v>
      </c>
    </row>
    <row r="26" spans="1:1">
      <c r="A26" s="489">
        <v>42491</v>
      </c>
    </row>
    <row r="27" spans="1:1">
      <c r="A27" s="489">
        <v>42522</v>
      </c>
    </row>
    <row r="28" spans="1:1">
      <c r="A28" s="489">
        <v>42552</v>
      </c>
    </row>
    <row r="29" spans="1:1">
      <c r="A29" s="489">
        <v>42583</v>
      </c>
    </row>
    <row r="30" spans="1:1">
      <c r="A30" s="489">
        <v>42614</v>
      </c>
    </row>
    <row r="31" spans="1:1">
      <c r="A31" s="489">
        <v>42644</v>
      </c>
    </row>
    <row r="32" spans="1:1">
      <c r="A32" s="489">
        <v>42675</v>
      </c>
    </row>
    <row r="33" spans="1:1">
      <c r="A33" s="489">
        <v>42705</v>
      </c>
    </row>
    <row r="34" spans="1:1">
      <c r="A34" s="489">
        <v>42736</v>
      </c>
    </row>
    <row r="35" spans="1:1">
      <c r="A35" s="489">
        <v>42767</v>
      </c>
    </row>
    <row r="36" spans="1:1">
      <c r="A36" s="489">
        <v>42795</v>
      </c>
    </row>
    <row r="37" spans="1:1">
      <c r="A37" s="489">
        <v>42826</v>
      </c>
    </row>
    <row r="38" spans="1:1">
      <c r="A38" s="489">
        <v>42856</v>
      </c>
    </row>
    <row r="39" spans="1:1">
      <c r="A39" s="489">
        <v>42887</v>
      </c>
    </row>
    <row r="40" spans="1:1">
      <c r="A40" s="489">
        <v>42917</v>
      </c>
    </row>
    <row r="41" spans="1:1">
      <c r="A41" s="489">
        <v>42948</v>
      </c>
    </row>
    <row r="42" spans="1:1">
      <c r="A42" s="489">
        <v>42979</v>
      </c>
    </row>
    <row r="43" spans="1:1">
      <c r="A43" s="489">
        <v>43009</v>
      </c>
    </row>
    <row r="44" spans="1:1">
      <c r="A44" s="489">
        <v>43040</v>
      </c>
    </row>
    <row r="45" spans="1:1">
      <c r="A45" s="489">
        <v>43070</v>
      </c>
    </row>
    <row r="46" spans="1:1">
      <c r="A46" s="489">
        <v>43101</v>
      </c>
    </row>
    <row r="47" spans="1:1">
      <c r="A47" s="489">
        <v>43132</v>
      </c>
    </row>
    <row r="48" spans="1:1">
      <c r="A48" s="489">
        <v>43160</v>
      </c>
    </row>
    <row r="49" spans="1:1">
      <c r="A49" s="489">
        <v>43191</v>
      </c>
    </row>
    <row r="50" spans="1:1">
      <c r="A50" s="489">
        <v>43221</v>
      </c>
    </row>
    <row r="51" spans="1:1">
      <c r="A51" s="489">
        <v>43252</v>
      </c>
    </row>
    <row r="52" spans="1:1">
      <c r="A52" s="489">
        <v>43282</v>
      </c>
    </row>
    <row r="53" spans="1:1">
      <c r="A53" s="489">
        <v>43313</v>
      </c>
    </row>
    <row r="54" spans="1:1">
      <c r="A54" s="489">
        <v>43344</v>
      </c>
    </row>
    <row r="55" spans="1:1">
      <c r="A55" s="489">
        <v>43374</v>
      </c>
    </row>
    <row r="56" spans="1:1">
      <c r="A56" s="489">
        <v>43405</v>
      </c>
    </row>
    <row r="57" spans="1:1">
      <c r="A57" s="489">
        <v>43435</v>
      </c>
    </row>
    <row r="58" spans="1:1">
      <c r="A58" s="489">
        <v>43466</v>
      </c>
    </row>
    <row r="59" spans="1:1">
      <c r="A59" s="489">
        <v>43497</v>
      </c>
    </row>
    <row r="60" spans="1:1">
      <c r="A60" s="489">
        <v>43525</v>
      </c>
    </row>
    <row r="61" spans="1:1">
      <c r="A61" s="489">
        <v>43556</v>
      </c>
    </row>
    <row r="62" spans="1:1">
      <c r="A62" s="489">
        <v>43586</v>
      </c>
    </row>
  </sheetData>
  <mergeCells count="3"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48" t="s">
        <v>54</v>
      </c>
      <c r="B1" s="149" t="s">
        <v>55</v>
      </c>
      <c r="C1" s="149" t="s">
        <v>56</v>
      </c>
      <c r="D1" s="149" t="s">
        <v>57</v>
      </c>
      <c r="E1" s="149" t="s">
        <v>58</v>
      </c>
      <c r="F1" s="673" t="s">
        <v>59</v>
      </c>
      <c r="G1" s="674"/>
      <c r="H1" s="673" t="s">
        <v>60</v>
      </c>
      <c r="I1" s="674"/>
    </row>
    <row r="2" spans="1:9">
      <c r="A2" s="150" t="s">
        <v>61</v>
      </c>
      <c r="B2" s="151" t="s">
        <v>62</v>
      </c>
      <c r="C2" s="151" t="s">
        <v>62</v>
      </c>
      <c r="D2" s="151" t="s">
        <v>62</v>
      </c>
      <c r="E2" s="151" t="s">
        <v>62</v>
      </c>
      <c r="F2" s="151" t="s">
        <v>63</v>
      </c>
      <c r="G2" s="151" t="s">
        <v>167</v>
      </c>
      <c r="H2" s="151" t="s">
        <v>63</v>
      </c>
      <c r="I2" s="151" t="s">
        <v>167</v>
      </c>
    </row>
    <row r="3" spans="1:9">
      <c r="A3" s="150" t="s">
        <v>64</v>
      </c>
      <c r="B3" s="151">
        <v>6900.7</v>
      </c>
      <c r="C3" s="151">
        <v>11206</v>
      </c>
      <c r="D3" s="151">
        <v>17333.75</v>
      </c>
      <c r="E3" s="151">
        <v>23313.75</v>
      </c>
      <c r="F3" s="151">
        <v>25314.45</v>
      </c>
      <c r="G3" s="151">
        <v>25314.45</v>
      </c>
      <c r="H3" s="151">
        <v>24336.45</v>
      </c>
      <c r="I3" s="151">
        <v>24386.45</v>
      </c>
    </row>
    <row r="4" spans="1:9">
      <c r="A4" s="150" t="s">
        <v>65</v>
      </c>
      <c r="B4" s="151">
        <v>3569</v>
      </c>
      <c r="C4" s="151">
        <v>3650</v>
      </c>
      <c r="D4" s="151">
        <v>3787</v>
      </c>
      <c r="E4" s="151">
        <v>3586</v>
      </c>
      <c r="F4" s="151">
        <v>3440</v>
      </c>
      <c r="G4" s="151">
        <v>3440</v>
      </c>
      <c r="H4" s="151">
        <v>3500</v>
      </c>
      <c r="I4" s="151">
        <v>3500</v>
      </c>
    </row>
    <row r="5" spans="1:9">
      <c r="A5" s="150" t="s">
        <v>168</v>
      </c>
      <c r="B5" s="151">
        <v>21800</v>
      </c>
      <c r="C5" s="151">
        <v>21567</v>
      </c>
      <c r="D5" s="151">
        <v>22748</v>
      </c>
      <c r="E5" s="151">
        <v>21172</v>
      </c>
      <c r="F5" s="151">
        <v>20372</v>
      </c>
      <c r="G5" s="151">
        <v>20372</v>
      </c>
      <c r="H5" s="151">
        <v>20600</v>
      </c>
      <c r="I5" s="151">
        <v>20400</v>
      </c>
    </row>
    <row r="6" spans="1:9">
      <c r="A6" s="150" t="s">
        <v>66</v>
      </c>
      <c r="B6" s="151">
        <v>327.60000000000002</v>
      </c>
      <c r="C6" s="151">
        <v>552</v>
      </c>
      <c r="D6" s="151">
        <v>317.42</v>
      </c>
      <c r="E6" s="151">
        <v>246.4</v>
      </c>
      <c r="F6" s="151">
        <v>300</v>
      </c>
      <c r="G6" s="151">
        <v>350</v>
      </c>
      <c r="H6" s="151">
        <v>300</v>
      </c>
      <c r="I6" s="151">
        <v>350</v>
      </c>
    </row>
    <row r="7" spans="1:9">
      <c r="A7" s="150" t="s">
        <v>67</v>
      </c>
      <c r="B7" s="151">
        <v>29028.3</v>
      </c>
      <c r="C7" s="151">
        <v>33325</v>
      </c>
      <c r="D7" s="151">
        <v>40399.17</v>
      </c>
      <c r="E7" s="151">
        <v>44732.15</v>
      </c>
      <c r="F7" s="151">
        <v>45986.45</v>
      </c>
      <c r="G7" s="151">
        <v>46036.45</v>
      </c>
      <c r="H7" s="151">
        <v>45236.45</v>
      </c>
      <c r="I7" s="151">
        <v>45136.45</v>
      </c>
    </row>
    <row r="8" spans="1:9">
      <c r="A8" s="150" t="s">
        <v>68</v>
      </c>
      <c r="B8" s="151">
        <v>17820</v>
      </c>
      <c r="C8" s="151">
        <v>15990</v>
      </c>
      <c r="D8" s="151">
        <v>17085</v>
      </c>
      <c r="E8" s="151">
        <v>19410</v>
      </c>
      <c r="F8" s="151">
        <v>21640</v>
      </c>
      <c r="G8" s="151">
        <v>21640</v>
      </c>
      <c r="H8" s="151">
        <v>23500</v>
      </c>
      <c r="I8" s="151">
        <v>23500</v>
      </c>
    </row>
    <row r="9" spans="1:9">
      <c r="A9" s="150" t="s">
        <v>69</v>
      </c>
      <c r="B9" s="151">
        <v>12100</v>
      </c>
      <c r="C9" s="151">
        <v>9950</v>
      </c>
      <c r="D9" s="151">
        <v>10400</v>
      </c>
      <c r="E9" s="151">
        <v>11650</v>
      </c>
      <c r="F9" s="151">
        <v>12600</v>
      </c>
      <c r="G9" s="151">
        <v>12600</v>
      </c>
      <c r="H9" s="151">
        <v>13600</v>
      </c>
      <c r="I9" s="151">
        <v>13600</v>
      </c>
    </row>
    <row r="10" spans="1:9">
      <c r="A10" s="150" t="s">
        <v>70</v>
      </c>
      <c r="B10" s="151">
        <v>4350</v>
      </c>
      <c r="C10" s="151">
        <v>4650</v>
      </c>
      <c r="D10" s="151">
        <v>5300</v>
      </c>
      <c r="E10" s="151">
        <v>6300</v>
      </c>
      <c r="F10" s="151">
        <v>7600</v>
      </c>
      <c r="G10" s="151">
        <v>7600</v>
      </c>
      <c r="H10" s="151">
        <v>8500</v>
      </c>
      <c r="I10" s="151">
        <v>8500</v>
      </c>
    </row>
    <row r="11" spans="1:9">
      <c r="A11" s="150" t="s">
        <v>71</v>
      </c>
      <c r="B11" s="151">
        <v>1230</v>
      </c>
      <c r="C11" s="151">
        <v>1240</v>
      </c>
      <c r="D11" s="151">
        <v>1230</v>
      </c>
      <c r="E11" s="151">
        <v>1210</v>
      </c>
      <c r="F11" s="151">
        <v>1190</v>
      </c>
      <c r="G11" s="151">
        <v>1190</v>
      </c>
      <c r="H11" s="151">
        <v>1200</v>
      </c>
      <c r="I11" s="151">
        <v>1200</v>
      </c>
    </row>
    <row r="12" spans="1:9">
      <c r="A12" s="150" t="s">
        <v>169</v>
      </c>
      <c r="B12" s="151">
        <v>140</v>
      </c>
      <c r="C12" s="151">
        <v>150</v>
      </c>
      <c r="D12" s="151">
        <v>155</v>
      </c>
      <c r="E12" s="151">
        <v>250</v>
      </c>
      <c r="F12" s="151">
        <v>250</v>
      </c>
      <c r="G12" s="151">
        <v>250</v>
      </c>
      <c r="H12" s="151">
        <v>200</v>
      </c>
      <c r="I12" s="151">
        <v>200</v>
      </c>
    </row>
    <row r="13" spans="1:9">
      <c r="A13" s="150" t="s">
        <v>72</v>
      </c>
      <c r="B13" s="151">
        <v>2.2999999999999998</v>
      </c>
      <c r="C13" s="151">
        <v>1.25</v>
      </c>
      <c r="D13" s="151">
        <v>0.42</v>
      </c>
      <c r="E13" s="151">
        <v>7.7</v>
      </c>
      <c r="F13" s="151">
        <v>10</v>
      </c>
      <c r="G13" s="151">
        <v>10</v>
      </c>
      <c r="H13" s="151">
        <v>10</v>
      </c>
      <c r="I13" s="151">
        <v>10</v>
      </c>
    </row>
    <row r="14" spans="1:9">
      <c r="A14" s="150" t="s">
        <v>73</v>
      </c>
      <c r="B14" s="151">
        <v>17822.3</v>
      </c>
      <c r="C14" s="151">
        <v>15991.25</v>
      </c>
      <c r="D14" s="151">
        <v>17085.419999999998</v>
      </c>
      <c r="E14" s="151">
        <v>19417.7</v>
      </c>
      <c r="F14" s="151">
        <v>21650</v>
      </c>
      <c r="G14" s="151">
        <v>21650</v>
      </c>
      <c r="H14" s="151">
        <v>23510</v>
      </c>
      <c r="I14" s="151">
        <v>23510</v>
      </c>
    </row>
    <row r="15" spans="1:9" ht="14.25" thickBot="1">
      <c r="A15" s="150" t="s">
        <v>74</v>
      </c>
      <c r="B15" s="151">
        <v>11206</v>
      </c>
      <c r="C15" s="151">
        <v>17333.75</v>
      </c>
      <c r="D15" s="151">
        <v>23313.75</v>
      </c>
      <c r="E15" s="151">
        <v>25314.45</v>
      </c>
      <c r="F15" s="151">
        <v>24336.45</v>
      </c>
      <c r="G15" s="151">
        <v>24386.45</v>
      </c>
      <c r="H15" s="151">
        <v>21726.45</v>
      </c>
      <c r="I15" s="151">
        <v>21626.45</v>
      </c>
    </row>
    <row r="16" spans="1:9" ht="14.25" thickBot="1">
      <c r="A16" s="675" t="s">
        <v>75</v>
      </c>
      <c r="B16" s="676"/>
      <c r="C16" s="676"/>
      <c r="D16" s="676"/>
      <c r="E16" s="676"/>
      <c r="F16" s="676"/>
      <c r="G16" s="676"/>
      <c r="H16" s="676"/>
      <c r="I16" s="677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L28" sqref="L28"/>
    </sheetView>
  </sheetViews>
  <sheetFormatPr defaultRowHeight="13.5"/>
  <sheetData>
    <row r="1" spans="1:24">
      <c r="A1" s="678" t="s">
        <v>76</v>
      </c>
      <c r="B1" s="678" t="s">
        <v>13</v>
      </c>
      <c r="C1" s="678" t="s">
        <v>14</v>
      </c>
      <c r="D1" s="679"/>
      <c r="E1" s="679"/>
      <c r="F1" s="678" t="s">
        <v>77</v>
      </c>
      <c r="G1" s="679"/>
      <c r="H1" s="679"/>
      <c r="I1" s="679"/>
      <c r="J1" s="679"/>
      <c r="K1" s="678" t="s">
        <v>78</v>
      </c>
      <c r="L1" s="679"/>
      <c r="M1" s="679"/>
      <c r="N1" s="678" t="s">
        <v>79</v>
      </c>
      <c r="O1" s="679"/>
      <c r="P1" s="679"/>
      <c r="Q1" s="678" t="s">
        <v>80</v>
      </c>
      <c r="R1" s="679"/>
      <c r="S1" s="679"/>
      <c r="T1" s="679"/>
      <c r="U1" s="98" t="s">
        <v>81</v>
      </c>
      <c r="V1" s="678" t="s">
        <v>82</v>
      </c>
      <c r="W1" s="679"/>
      <c r="X1" s="679"/>
    </row>
    <row r="2" spans="1:24">
      <c r="A2" s="678"/>
      <c r="B2" s="678"/>
      <c r="C2" s="98" t="s">
        <v>83</v>
      </c>
      <c r="D2" s="98" t="s">
        <v>28</v>
      </c>
      <c r="E2" s="98" t="s">
        <v>29</v>
      </c>
      <c r="F2" s="98" t="s">
        <v>16</v>
      </c>
      <c r="G2" s="98" t="s">
        <v>84</v>
      </c>
      <c r="H2" s="98" t="s">
        <v>85</v>
      </c>
      <c r="I2" s="98" t="s">
        <v>86</v>
      </c>
      <c r="J2" s="98" t="s">
        <v>87</v>
      </c>
      <c r="K2" s="98" t="s">
        <v>15</v>
      </c>
      <c r="L2" s="98" t="s">
        <v>88</v>
      </c>
      <c r="M2" s="98" t="s">
        <v>89</v>
      </c>
      <c r="N2" s="98" t="s">
        <v>24</v>
      </c>
      <c r="O2" s="98" t="s">
        <v>90</v>
      </c>
      <c r="P2" s="98" t="s">
        <v>91</v>
      </c>
      <c r="Q2" s="98" t="s">
        <v>92</v>
      </c>
      <c r="R2" s="98" t="s">
        <v>93</v>
      </c>
      <c r="S2" s="98" t="s">
        <v>94</v>
      </c>
      <c r="T2" s="98" t="s">
        <v>95</v>
      </c>
      <c r="U2" s="98" t="s">
        <v>96</v>
      </c>
      <c r="V2" s="98" t="s">
        <v>97</v>
      </c>
      <c r="W2" s="98" t="s">
        <v>98</v>
      </c>
      <c r="X2" s="98" t="s">
        <v>99</v>
      </c>
    </row>
    <row r="3" spans="1:24">
      <c r="A3" s="99" t="s">
        <v>100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101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102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103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104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226</v>
      </c>
      <c r="Z18" t="s">
        <v>227</v>
      </c>
      <c r="AA18" t="s">
        <v>228</v>
      </c>
      <c r="AB18" t="s">
        <v>229</v>
      </c>
      <c r="AC18" t="s">
        <v>230</v>
      </c>
      <c r="AD18" t="s">
        <v>231</v>
      </c>
      <c r="AE18" t="s">
        <v>232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444</v>
      </c>
      <c r="C23" t="s">
        <v>443</v>
      </c>
      <c r="D23" t="s">
        <v>445</v>
      </c>
      <c r="E23" t="s">
        <v>446</v>
      </c>
      <c r="F23" t="s">
        <v>447</v>
      </c>
      <c r="G23" t="s">
        <v>448</v>
      </c>
      <c r="H23" t="s">
        <v>451</v>
      </c>
    </row>
    <row r="24" spans="2:31">
      <c r="B24" t="s">
        <v>449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450</v>
      </c>
      <c r="C25">
        <f>C24/15</f>
        <v>60</v>
      </c>
      <c r="D25" s="468">
        <f t="shared" ref="D25:G25" si="0">D24/15</f>
        <v>156.66666666666666</v>
      </c>
      <c r="E25" s="468">
        <f t="shared" si="0"/>
        <v>90</v>
      </c>
      <c r="F25" s="468">
        <f t="shared" si="0"/>
        <v>16.133333333333333</v>
      </c>
      <c r="G25" s="468">
        <f t="shared" si="0"/>
        <v>466.66666666666669</v>
      </c>
      <c r="H25">
        <f>H24/15*2</f>
        <v>0.93333333333333335</v>
      </c>
      <c r="I25" s="468">
        <f t="shared" ref="I25:K25" si="1">I24/15*2</f>
        <v>1</v>
      </c>
      <c r="J25" s="468">
        <f t="shared" si="1"/>
        <v>1.1333333333333333</v>
      </c>
      <c r="K25" s="468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0" sqref="B10"/>
    </sheetView>
  </sheetViews>
  <sheetFormatPr defaultRowHeight="16.5"/>
  <cols>
    <col min="1" max="1" width="12.5" style="217" bestFit="1" customWidth="1"/>
    <col min="2" max="2" width="91.375" style="218" customWidth="1"/>
    <col min="3" max="3" width="9.125" style="217" bestFit="1" customWidth="1"/>
    <col min="4" max="16384" width="9" style="217"/>
  </cols>
  <sheetData>
    <row r="1" spans="1:2">
      <c r="A1" s="217" t="s">
        <v>219</v>
      </c>
      <c r="B1" s="218" t="s">
        <v>220</v>
      </c>
    </row>
    <row r="2" spans="1:2">
      <c r="A2" s="219">
        <v>43396</v>
      </c>
      <c r="B2" s="218" t="s">
        <v>218</v>
      </c>
    </row>
    <row r="3" spans="1:2" ht="66">
      <c r="A3" s="219">
        <v>43397</v>
      </c>
      <c r="B3" s="218" t="s">
        <v>225</v>
      </c>
    </row>
    <row r="4" spans="1:2" ht="33">
      <c r="A4" s="219">
        <v>43399</v>
      </c>
      <c r="B4" s="218" t="s">
        <v>222</v>
      </c>
    </row>
    <row r="5" spans="1:2">
      <c r="A5" s="219">
        <v>43399</v>
      </c>
      <c r="B5" s="218" t="s">
        <v>221</v>
      </c>
    </row>
    <row r="6" spans="1:2">
      <c r="A6" s="219">
        <v>43410</v>
      </c>
      <c r="B6" s="218" t="s">
        <v>224</v>
      </c>
    </row>
    <row r="7" spans="1:2" ht="56.25" customHeight="1">
      <c r="A7" s="219">
        <v>43441</v>
      </c>
      <c r="B7" s="218" t="s">
        <v>442</v>
      </c>
    </row>
    <row r="8" spans="1:2">
      <c r="A8" s="219">
        <v>43473</v>
      </c>
    </row>
    <row r="23" spans="3:3">
      <c r="C23" s="217">
        <f>B23*1.043^65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workbookViewId="0">
      <selection activeCell="B8" sqref="B8"/>
    </sheetView>
  </sheetViews>
  <sheetFormatPr defaultRowHeight="17.25"/>
  <cols>
    <col min="1" max="1" width="14.125" style="180" bestFit="1" customWidth="1"/>
    <col min="2" max="2" width="11.875" style="180" bestFit="1" customWidth="1"/>
    <col min="3" max="5" width="9.625" style="180" customWidth="1"/>
    <col min="6" max="6" width="11.875" style="180" bestFit="1" customWidth="1"/>
    <col min="7" max="8" width="9.625" style="180" customWidth="1"/>
    <col min="9" max="9" width="12.875" style="180" customWidth="1"/>
    <col min="10" max="10" width="11.75" style="180" bestFit="1" customWidth="1"/>
    <col min="11" max="11" width="13.125" style="180" bestFit="1" customWidth="1"/>
    <col min="12" max="12" width="11.5" style="180" customWidth="1"/>
    <col min="13" max="14" width="12.75" style="180" bestFit="1" customWidth="1"/>
    <col min="15" max="15" width="17.75" style="180" customWidth="1"/>
    <col min="16" max="17" width="11.25" style="180" customWidth="1"/>
    <col min="18" max="18" width="12.75" style="180" bestFit="1" customWidth="1"/>
    <col min="19" max="19" width="12.125" style="180" customWidth="1"/>
    <col min="20" max="20" width="9" style="180"/>
    <col min="21" max="21" width="16.125" style="180" customWidth="1"/>
    <col min="22" max="22" width="12.625" style="180" customWidth="1"/>
    <col min="23" max="23" width="12.5" style="180" customWidth="1"/>
    <col min="24" max="24" width="11.875" style="180" customWidth="1"/>
    <col min="25" max="25" width="13.375" style="180" customWidth="1"/>
    <col min="26" max="26" width="12" style="180" customWidth="1"/>
    <col min="27" max="16384" width="9" style="180"/>
  </cols>
  <sheetData>
    <row r="1" spans="1:26" ht="20.100000000000001" customHeight="1">
      <c r="A1" s="178">
        <f ca="1">TODAY()</f>
        <v>43579</v>
      </c>
      <c r="B1" s="179" t="s">
        <v>105</v>
      </c>
      <c r="C1" s="179" t="s">
        <v>106</v>
      </c>
      <c r="D1" s="179" t="s">
        <v>107</v>
      </c>
      <c r="E1" s="179" t="s">
        <v>108</v>
      </c>
      <c r="F1" s="179" t="s">
        <v>109</v>
      </c>
      <c r="G1" s="179" t="s">
        <v>110</v>
      </c>
      <c r="H1" s="179" t="s">
        <v>112</v>
      </c>
      <c r="J1" s="683"/>
      <c r="K1" s="683"/>
      <c r="L1" s="683"/>
      <c r="M1" s="684"/>
      <c r="N1" s="684"/>
      <c r="O1" s="558" t="s">
        <v>133</v>
      </c>
      <c r="P1" s="181" t="s">
        <v>132</v>
      </c>
      <c r="Q1" s="181" t="s">
        <v>176</v>
      </c>
      <c r="R1" s="182">
        <f>INDEX(饲料厂库存!A:A,COUNTA(饲料厂库存!A:A))</f>
        <v>43565</v>
      </c>
      <c r="S1" s="182">
        <f>INDEX(饲料厂库存!A:A,COUNTA(饲料厂库存!A:A)-1)</f>
        <v>43557</v>
      </c>
      <c r="T1" s="181" t="s">
        <v>166</v>
      </c>
      <c r="U1" s="546" t="s">
        <v>496</v>
      </c>
      <c r="V1" s="546" t="str">
        <f>P1</f>
        <v>企业</v>
      </c>
      <c r="W1" s="547" t="s">
        <v>497</v>
      </c>
      <c r="X1" s="546" t="s">
        <v>498</v>
      </c>
      <c r="Y1" s="546" t="s">
        <v>499</v>
      </c>
      <c r="Z1" s="546" t="s">
        <v>500</v>
      </c>
    </row>
    <row r="2" spans="1:26" ht="20.100000000000001" customHeight="1">
      <c r="A2" s="183" t="s">
        <v>116</v>
      </c>
      <c r="B2" s="232">
        <f>LOOKUP(2,1/(价格!T:T&lt;&gt;0),价格!T:T)</f>
        <v>1600</v>
      </c>
      <c r="C2" s="232">
        <f>LOOKUP(2,1/(价格!Y:Y&lt;&gt;0),价格!Y:Y)</f>
        <v>1690</v>
      </c>
      <c r="D2" s="232">
        <f>LOOKUP(2,1/(价格!AF:AF&lt;&gt;0),价格!AF:AF)</f>
        <v>1550</v>
      </c>
      <c r="E2" s="232">
        <f>LOOKUP(2,1/(价格!AI:AI&lt;&gt;0),价格!AI:AI)</f>
        <v>1670</v>
      </c>
      <c r="F2" s="232">
        <f>LOOKUP(2,1/(价格!AL:AL&lt;&gt;0),价格!AL:AL)</f>
        <v>1700</v>
      </c>
      <c r="G2" s="232">
        <f>LOOKUP(2,1/(价格!AS:AS&lt;&gt;0),价格!AS:AS)</f>
        <v>1770</v>
      </c>
      <c r="H2" s="232">
        <f>LOOKUP(2,1/(价格!AV:AV&lt;&gt;0),价格!AV:AV)</f>
        <v>1740</v>
      </c>
      <c r="J2" s="680"/>
      <c r="K2" s="681"/>
      <c r="L2" s="682"/>
      <c r="M2" s="233"/>
      <c r="N2" s="233"/>
      <c r="O2" s="568" t="s">
        <v>139</v>
      </c>
      <c r="P2" s="232" t="s">
        <v>134</v>
      </c>
      <c r="Q2" s="260">
        <f>(R2-S2)/S2</f>
        <v>0</v>
      </c>
      <c r="R2" s="232">
        <f>INDEX(饲料厂库存!B:B,COUNTA(饲料厂库存!$A:$A))</f>
        <v>30</v>
      </c>
      <c r="S2" s="232">
        <f>INDEX(饲料厂库存!B:B,COUNTA(饲料厂库存!A:A)-1)</f>
        <v>30</v>
      </c>
      <c r="T2" s="232"/>
      <c r="U2" s="565" t="str">
        <f>O2</f>
        <v>珠三角</v>
      </c>
      <c r="V2" s="545" t="str">
        <f>P2</f>
        <v>温氏</v>
      </c>
      <c r="W2" s="545">
        <f>R2</f>
        <v>30</v>
      </c>
      <c r="X2" s="565" t="str">
        <f>O14</f>
        <v>长三角</v>
      </c>
      <c r="Y2" s="545" t="str">
        <f>P14</f>
        <v>温氏</v>
      </c>
      <c r="Z2" s="545">
        <f>R14</f>
        <v>20</v>
      </c>
    </row>
    <row r="3" spans="1:26" ht="20.100000000000001" customHeight="1">
      <c r="A3" s="185" t="s">
        <v>122</v>
      </c>
      <c r="B3" s="186" t="s">
        <v>124</v>
      </c>
      <c r="C3" s="186" t="s">
        <v>423</v>
      </c>
      <c r="D3" s="186" t="s">
        <v>125</v>
      </c>
      <c r="E3" s="186" t="s">
        <v>126</v>
      </c>
      <c r="F3" s="186" t="s">
        <v>253</v>
      </c>
      <c r="G3" s="186" t="s">
        <v>127</v>
      </c>
      <c r="H3" s="186" t="s">
        <v>420</v>
      </c>
      <c r="J3" s="680"/>
      <c r="K3" s="681"/>
      <c r="L3" s="682"/>
      <c r="M3" s="233"/>
      <c r="N3" s="233"/>
      <c r="O3" s="568"/>
      <c r="P3" s="232" t="s">
        <v>135</v>
      </c>
      <c r="Q3" s="260">
        <f t="shared" ref="Q3:Q9" si="0">(R3-S3)/S3</f>
        <v>0</v>
      </c>
      <c r="R3" s="232">
        <f>INDEX(饲料厂库存!C:C,COUNTA(饲料厂库存!A:A))</f>
        <v>20</v>
      </c>
      <c r="S3" s="232">
        <f>INDEX(饲料厂库存!C:C,COUNTA(饲料厂库存!A:A)-1)</f>
        <v>20</v>
      </c>
      <c r="T3" s="232"/>
      <c r="U3" s="566"/>
      <c r="V3" s="545" t="str">
        <f t="shared" ref="V3:V6" si="1">P3</f>
        <v>双胞胎</v>
      </c>
      <c r="W3" s="545">
        <f t="shared" ref="W3:W6" si="2">R3</f>
        <v>20</v>
      </c>
      <c r="X3" s="566"/>
      <c r="Y3" s="545" t="str">
        <f t="shared" ref="Y3:Y8" si="3">P15</f>
        <v>海大</v>
      </c>
      <c r="Z3" s="545">
        <f t="shared" ref="Z3:Z8" si="4">R15</f>
        <v>25</v>
      </c>
    </row>
    <row r="4" spans="1:26" ht="20.100000000000001" customHeight="1">
      <c r="A4" s="185" t="s">
        <v>123</v>
      </c>
      <c r="B4" s="186">
        <f>LOOKUP(2,1/(价格!V:V&lt;&gt;0),价格!V:V)</f>
        <v>1610</v>
      </c>
      <c r="C4" s="186">
        <f>LOOKUP(2,1/(价格!AA:AA&lt;&gt;0),价格!AA:AA)</f>
        <v>1640</v>
      </c>
      <c r="D4" s="186" t="str">
        <f>LOOKUP(2,1/(价格!AH:AH&lt;&gt;0),价格!AH:AH)</f>
        <v>停收</v>
      </c>
      <c r="E4" s="186">
        <f>LOOKUP(2,1/(价格!AK:AK&lt;&gt;0),价格!AK:AK)</f>
        <v>1690</v>
      </c>
      <c r="F4" s="186">
        <f>LOOKUP(2,1/(价格!AO:AO&lt;&gt;0),价格!AO:AO)</f>
        <v>1660</v>
      </c>
      <c r="G4" s="186">
        <f>LOOKUP(2,1/(价格!AT:AT&lt;&gt;0),价格!AT:AT)</f>
        <v>1720</v>
      </c>
      <c r="H4" s="186">
        <f>LOOKUP(2,1/(价格!AW:AW&lt;&gt;0),价格!AW:AW)</f>
        <v>1730</v>
      </c>
      <c r="J4" s="680"/>
      <c r="K4" s="681"/>
      <c r="L4" s="682"/>
      <c r="M4" s="233"/>
      <c r="N4" s="233"/>
      <c r="O4" s="568"/>
      <c r="P4" s="232" t="s">
        <v>136</v>
      </c>
      <c r="Q4" s="260">
        <f t="shared" si="0"/>
        <v>0</v>
      </c>
      <c r="R4" s="232">
        <f>INDEX(饲料厂库存!D:D,COUNTA(饲料厂库存!A:A))</f>
        <v>15</v>
      </c>
      <c r="S4" s="232">
        <f>INDEX(饲料厂库存!D:D,COUNTA(饲料厂库存!A:A)-1)</f>
        <v>15</v>
      </c>
      <c r="T4" s="232"/>
      <c r="U4" s="566"/>
      <c r="V4" s="545" t="str">
        <f t="shared" si="1"/>
        <v>海大</v>
      </c>
      <c r="W4" s="545">
        <f t="shared" si="2"/>
        <v>15</v>
      </c>
      <c r="X4" s="566"/>
      <c r="Y4" s="545" t="str">
        <f t="shared" si="3"/>
        <v>正邦</v>
      </c>
      <c r="Z4" s="545">
        <f t="shared" si="4"/>
        <v>30</v>
      </c>
    </row>
    <row r="5" spans="1:26" ht="20.100000000000001" customHeight="1">
      <c r="A5" s="232" t="s">
        <v>223</v>
      </c>
      <c r="B5" s="232">
        <f>LOOKUP(2,1/(价格!U:U&lt;&gt;0),价格!U:U)</f>
        <v>175</v>
      </c>
      <c r="C5" s="232">
        <f>LOOKUP(2,1/(价格!Z:Z&lt;&gt;0),价格!Z:Z)</f>
        <v>130</v>
      </c>
      <c r="D5" s="232">
        <f>C5+120</f>
        <v>250</v>
      </c>
      <c r="E5" s="232">
        <f>LOOKUP(2,1/(价格!AJ:AJ&lt;&gt;0),价格!AJ:AJ)</f>
        <v>130</v>
      </c>
      <c r="F5" s="232">
        <f>C5-25</f>
        <v>105</v>
      </c>
      <c r="G5" s="232">
        <f>F5-75</f>
        <v>30</v>
      </c>
      <c r="H5" s="232">
        <v>70</v>
      </c>
      <c r="J5" s="680"/>
      <c r="K5" s="681"/>
      <c r="L5" s="682"/>
      <c r="M5" s="233"/>
      <c r="N5" s="233"/>
      <c r="O5" s="568"/>
      <c r="P5" s="232" t="s">
        <v>137</v>
      </c>
      <c r="Q5" s="260">
        <f t="shared" si="0"/>
        <v>0</v>
      </c>
      <c r="R5" s="232">
        <f>INDEX(饲料厂库存!E:E,COUNTA(饲料厂库存!A:A))</f>
        <v>15</v>
      </c>
      <c r="S5" s="232">
        <f>INDEX(饲料厂库存!E:E,COUNTA(饲料厂库存!A:A)-1)</f>
        <v>15</v>
      </c>
      <c r="T5" s="232"/>
      <c r="U5" s="566"/>
      <c r="V5" s="545" t="str">
        <f t="shared" si="1"/>
        <v>南宝</v>
      </c>
      <c r="W5" s="545">
        <f t="shared" si="2"/>
        <v>15</v>
      </c>
      <c r="X5" s="566"/>
      <c r="Y5" s="545" t="str">
        <f t="shared" si="3"/>
        <v>九鼎</v>
      </c>
      <c r="Z5" s="545">
        <f t="shared" si="4"/>
        <v>20</v>
      </c>
    </row>
    <row r="6" spans="1:26" ht="20.100000000000001" customHeight="1">
      <c r="A6" s="232" t="s">
        <v>113</v>
      </c>
      <c r="B6" s="232">
        <f>B2+B5</f>
        <v>1775</v>
      </c>
      <c r="C6" s="232">
        <f t="shared" ref="C6:H6" si="5">C2+C5</f>
        <v>1820</v>
      </c>
      <c r="D6" s="232">
        <f t="shared" si="5"/>
        <v>1800</v>
      </c>
      <c r="E6" s="232">
        <f t="shared" si="5"/>
        <v>1800</v>
      </c>
      <c r="F6" s="232">
        <f t="shared" si="5"/>
        <v>1805</v>
      </c>
      <c r="G6" s="232">
        <f t="shared" si="5"/>
        <v>1800</v>
      </c>
      <c r="H6" s="232">
        <f t="shared" si="5"/>
        <v>1810</v>
      </c>
      <c r="J6" s="680"/>
      <c r="K6" s="681"/>
      <c r="L6" s="682"/>
      <c r="M6" s="233"/>
      <c r="N6" s="233"/>
      <c r="O6" s="568"/>
      <c r="P6" s="232" t="s">
        <v>138</v>
      </c>
      <c r="Q6" s="260">
        <f t="shared" si="0"/>
        <v>0</v>
      </c>
      <c r="R6" s="232">
        <f>INDEX(饲料厂库存!F:F,COUNTA(饲料厂库存!A:A))</f>
        <v>5</v>
      </c>
      <c r="S6" s="232">
        <f>INDEX(饲料厂库存!F:F,COUNTA(饲料厂库存!A:A)-1)</f>
        <v>5</v>
      </c>
      <c r="T6" s="232"/>
      <c r="U6" s="567"/>
      <c r="V6" s="545" t="str">
        <f t="shared" si="1"/>
        <v>小散企业</v>
      </c>
      <c r="W6" s="545">
        <f t="shared" si="2"/>
        <v>5</v>
      </c>
      <c r="X6" s="566"/>
      <c r="Y6" s="545" t="str">
        <f>P18</f>
        <v>唐人神</v>
      </c>
      <c r="Z6" s="545">
        <f t="shared" si="4"/>
        <v>25</v>
      </c>
    </row>
    <row r="7" spans="1:26" ht="20.100000000000001" customHeight="1">
      <c r="A7" s="232" t="s">
        <v>164</v>
      </c>
      <c r="B7" s="232">
        <f>LOOKUP(2,1/(价格!$B:$B&lt;&gt;0),价格!$B:$B)</f>
        <v>1810</v>
      </c>
      <c r="C7" s="232">
        <f>LOOKUP(2,1/(价格!$B:$B&lt;&gt;0),价格!$B:$B)</f>
        <v>1810</v>
      </c>
      <c r="D7" s="232">
        <f>LOOKUP(2,1/(价格!$D:$D&lt;&gt;0),价格!$D:$D)</f>
        <v>1810</v>
      </c>
      <c r="E7" s="232">
        <f>LOOKUP(2,1/(价格!$B:$B&lt;&gt;0),价格!$B:$B)</f>
        <v>1810</v>
      </c>
      <c r="F7" s="232">
        <f>LOOKUP(2,1/(价格!$D:$D&lt;&gt;0),价格!$D:$D)</f>
        <v>1810</v>
      </c>
      <c r="G7" s="232">
        <f>LOOKUP(2,1/(价格!$D:$D&lt;&gt;0),价格!$D:$D)</f>
        <v>1810</v>
      </c>
      <c r="H7" s="232">
        <f>LOOKUP(2,1/(价格!$B:$B&lt;&gt;0),价格!$B:$B)</f>
        <v>1810</v>
      </c>
      <c r="J7" s="680"/>
      <c r="K7" s="681"/>
      <c r="L7" s="682"/>
      <c r="M7" s="233"/>
      <c r="N7" s="233"/>
      <c r="O7" s="568" t="s">
        <v>143</v>
      </c>
      <c r="P7" s="232" t="s">
        <v>140</v>
      </c>
      <c r="Q7" s="260">
        <f t="shared" si="0"/>
        <v>0</v>
      </c>
      <c r="R7" s="232">
        <f>INDEX(饲料厂库存!G:G,COUNTA(饲料厂库存!A:A))</f>
        <v>25</v>
      </c>
      <c r="S7" s="232">
        <f>INDEX(饲料厂库存!G:G,COUNTA(饲料厂库存!A:A)-1)</f>
        <v>25</v>
      </c>
      <c r="T7" s="232"/>
      <c r="U7" s="565" t="s">
        <v>501</v>
      </c>
      <c r="V7" s="545" t="s">
        <v>502</v>
      </c>
      <c r="W7" s="545">
        <f>INDEX(饲料厂库存!U:U,COUNTA(饲料厂库存!$A:$A))</f>
        <v>20</v>
      </c>
      <c r="X7" s="566"/>
      <c r="Y7" s="545" t="str">
        <f t="shared" si="3"/>
        <v>双胞胎</v>
      </c>
      <c r="Z7" s="545">
        <f t="shared" si="4"/>
        <v>45</v>
      </c>
    </row>
    <row r="8" spans="1:26" ht="20.100000000000001" customHeight="1">
      <c r="A8" s="187" t="s">
        <v>114</v>
      </c>
      <c r="B8" s="259">
        <f>B7-B6</f>
        <v>35</v>
      </c>
      <c r="C8" s="259">
        <f t="shared" ref="C8:H8" si="6">C7-C6</f>
        <v>-10</v>
      </c>
      <c r="D8" s="259">
        <f t="shared" si="6"/>
        <v>10</v>
      </c>
      <c r="E8" s="259">
        <f t="shared" si="6"/>
        <v>10</v>
      </c>
      <c r="F8" s="259">
        <f t="shared" si="6"/>
        <v>5</v>
      </c>
      <c r="G8" s="259">
        <f t="shared" si="6"/>
        <v>10</v>
      </c>
      <c r="H8" s="259">
        <f t="shared" si="6"/>
        <v>0</v>
      </c>
      <c r="J8" s="233"/>
      <c r="K8" s="233"/>
      <c r="L8" s="682"/>
      <c r="M8" s="233"/>
      <c r="N8" s="233"/>
      <c r="O8" s="568"/>
      <c r="P8" s="232" t="s">
        <v>141</v>
      </c>
      <c r="Q8" s="260">
        <f t="shared" si="0"/>
        <v>0</v>
      </c>
      <c r="R8" s="232">
        <f>INDEX(饲料厂库存!H:H,COUNTA(饲料厂库存!A:A))</f>
        <v>20</v>
      </c>
      <c r="S8" s="232">
        <f>INDEX(饲料厂库存!H:H,COUNTA(饲料厂库存!A:A)-1)</f>
        <v>20</v>
      </c>
      <c r="T8" s="232"/>
      <c r="U8" s="566"/>
      <c r="V8" s="545" t="s">
        <v>503</v>
      </c>
      <c r="W8" s="545">
        <f>INDEX(饲料厂库存!V:V,COUNTA(饲料厂库存!$A:$A))</f>
        <v>15</v>
      </c>
      <c r="X8" s="567"/>
      <c r="Y8" s="545" t="str">
        <f t="shared" si="3"/>
        <v>华农恒青</v>
      </c>
      <c r="Z8" s="545">
        <f t="shared" si="4"/>
        <v>25</v>
      </c>
    </row>
    <row r="9" spans="1:26" ht="20.100000000000001" customHeight="1">
      <c r="J9" s="680"/>
      <c r="K9" s="681"/>
      <c r="L9" s="682"/>
      <c r="M9" s="233"/>
      <c r="N9" s="233"/>
      <c r="O9" s="568"/>
      <c r="P9" s="232" t="s">
        <v>142</v>
      </c>
      <c r="Q9" s="260">
        <f t="shared" si="0"/>
        <v>0</v>
      </c>
      <c r="R9" s="232">
        <f>INDEX(饲料厂库存!I:I,COUNTA(饲料厂库存!A:A))</f>
        <v>20</v>
      </c>
      <c r="S9" s="232">
        <f>INDEX(饲料厂库存!I:I,COUNTA(饲料厂库存!A:A)-1)</f>
        <v>20</v>
      </c>
      <c r="T9" s="232"/>
      <c r="U9" s="567"/>
      <c r="V9" s="545" t="s">
        <v>504</v>
      </c>
      <c r="W9" s="545">
        <f>INDEX(饲料厂库存!W:W,COUNTA(饲料厂库存!$A:$A))</f>
        <v>10</v>
      </c>
      <c r="X9" s="568" t="str">
        <f>O10</f>
        <v>福建</v>
      </c>
      <c r="Y9" s="545" t="str">
        <f>P10</f>
        <v>海新</v>
      </c>
      <c r="Z9" s="545">
        <f>R10</f>
        <v>25</v>
      </c>
    </row>
    <row r="10" spans="1:26" ht="20.100000000000001" customHeight="1">
      <c r="A10" s="181" t="s">
        <v>156</v>
      </c>
      <c r="B10" s="181" t="s">
        <v>157</v>
      </c>
      <c r="C10" s="181" t="s">
        <v>18</v>
      </c>
      <c r="D10" s="181" t="s">
        <v>19</v>
      </c>
      <c r="E10" s="181" t="s">
        <v>158</v>
      </c>
      <c r="F10" s="233"/>
      <c r="G10" s="233"/>
      <c r="J10" s="680"/>
      <c r="K10" s="681"/>
      <c r="L10" s="682"/>
      <c r="M10" s="233"/>
      <c r="N10" s="233"/>
      <c r="O10" s="568" t="s">
        <v>152</v>
      </c>
      <c r="P10" s="232" t="s">
        <v>149</v>
      </c>
      <c r="Q10" s="260">
        <f t="shared" ref="Q10:Q20" si="7">(R10-S10)/S10</f>
        <v>0</v>
      </c>
      <c r="R10" s="232">
        <f>INDEX(饲料厂库存!Q:Q,COUNTA(饲料厂库存!A:A))</f>
        <v>25</v>
      </c>
      <c r="S10" s="232">
        <f>INDEX(饲料厂库存!Q:Q,COUNTA(饲料厂库存!A:A)-1)</f>
        <v>25</v>
      </c>
      <c r="T10" s="232"/>
      <c r="U10" s="565" t="str">
        <f>O7</f>
        <v>西南</v>
      </c>
      <c r="V10" s="545" t="str">
        <f>P7</f>
        <v>特驱</v>
      </c>
      <c r="W10" s="545">
        <f>R7</f>
        <v>25</v>
      </c>
      <c r="X10" s="568"/>
      <c r="Y10" s="545" t="str">
        <f>P11</f>
        <v>华龙</v>
      </c>
      <c r="Z10" s="545">
        <f>R11</f>
        <v>10</v>
      </c>
    </row>
    <row r="11" spans="1:26" ht="20.100000000000001" customHeight="1">
      <c r="A11" s="232" t="s">
        <v>163</v>
      </c>
      <c r="B11" s="232">
        <v>1456</v>
      </c>
      <c r="C11" s="232">
        <v>1543</v>
      </c>
      <c r="D11" s="188">
        <v>1660</v>
      </c>
      <c r="E11" s="188">
        <v>1669</v>
      </c>
      <c r="F11" s="233"/>
      <c r="G11" s="233"/>
      <c r="J11" s="680"/>
      <c r="K11" s="681"/>
      <c r="L11" s="682"/>
      <c r="M11" s="233"/>
      <c r="N11" s="233"/>
      <c r="O11" s="568"/>
      <c r="P11" s="232" t="s">
        <v>150</v>
      </c>
      <c r="Q11" s="260">
        <f t="shared" si="7"/>
        <v>0</v>
      </c>
      <c r="R11" s="232">
        <f>INDEX(饲料厂库存!R:R,COUNTA(饲料厂库存!A:A))</f>
        <v>10</v>
      </c>
      <c r="S11" s="232">
        <f>INDEX(饲料厂库存!R:R,COUNTA(饲料厂库存!A:A)-1)</f>
        <v>10</v>
      </c>
      <c r="T11" s="232"/>
      <c r="U11" s="566"/>
      <c r="V11" s="545" t="str">
        <f>P8</f>
        <v>通威</v>
      </c>
      <c r="W11" s="545">
        <f>R8</f>
        <v>20</v>
      </c>
      <c r="X11" s="568"/>
      <c r="Y11" s="545" t="str">
        <f>P12</f>
        <v>傲农</v>
      </c>
      <c r="Z11" s="545">
        <f>R12</f>
        <v>8</v>
      </c>
    </row>
    <row r="12" spans="1:26" ht="20.100000000000001" customHeight="1">
      <c r="A12" s="232" t="s">
        <v>159</v>
      </c>
      <c r="B12" s="232">
        <f>30+50+20</f>
        <v>100</v>
      </c>
      <c r="C12" s="232">
        <f t="shared" ref="C12:E12" si="8">30+50+20</f>
        <v>100</v>
      </c>
      <c r="D12" s="232">
        <f t="shared" si="8"/>
        <v>100</v>
      </c>
      <c r="E12" s="232">
        <f t="shared" si="8"/>
        <v>100</v>
      </c>
      <c r="F12" s="233"/>
      <c r="G12" s="233"/>
      <c r="J12" s="680"/>
      <c r="K12" s="681"/>
      <c r="L12" s="682"/>
      <c r="M12" s="233"/>
      <c r="N12" s="233"/>
      <c r="O12" s="568"/>
      <c r="P12" s="232" t="s">
        <v>151</v>
      </c>
      <c r="Q12" s="260">
        <f t="shared" si="7"/>
        <v>0</v>
      </c>
      <c r="R12" s="232">
        <f>INDEX(饲料厂库存!S:S,COUNTA(饲料厂库存!A:A))</f>
        <v>8</v>
      </c>
      <c r="S12" s="232">
        <f>INDEX(饲料厂库存!S:S,COUNTA(饲料厂库存!A:A)-1)</f>
        <v>8</v>
      </c>
      <c r="T12" s="232"/>
      <c r="U12" s="567"/>
      <c r="V12" s="545" t="str">
        <f>P9</f>
        <v>希望</v>
      </c>
      <c r="W12" s="545">
        <f>R9</f>
        <v>20</v>
      </c>
      <c r="X12" s="568"/>
      <c r="Y12" s="545" t="str">
        <f>P13</f>
        <v>温氏</v>
      </c>
      <c r="Z12" s="545">
        <f>R13</f>
        <v>15</v>
      </c>
    </row>
    <row r="13" spans="1:26" ht="20.100000000000001" customHeight="1">
      <c r="A13" s="232" t="s">
        <v>160</v>
      </c>
      <c r="B13" s="232">
        <f>C5</f>
        <v>130</v>
      </c>
      <c r="C13" s="232">
        <f>F5</f>
        <v>105</v>
      </c>
      <c r="D13" s="232">
        <f>G5</f>
        <v>30</v>
      </c>
      <c r="E13" s="232">
        <f>H5</f>
        <v>70</v>
      </c>
      <c r="F13" s="233"/>
      <c r="G13" s="233"/>
      <c r="J13" s="680"/>
      <c r="K13" s="681"/>
      <c r="L13" s="682"/>
      <c r="M13" s="233"/>
      <c r="N13" s="233"/>
      <c r="O13" s="568"/>
      <c r="P13" s="232" t="s">
        <v>134</v>
      </c>
      <c r="Q13" s="260">
        <f t="shared" si="7"/>
        <v>0</v>
      </c>
      <c r="R13" s="232">
        <f>INDEX(饲料厂库存!T:T,COUNTA(饲料厂库存!A:A))</f>
        <v>15</v>
      </c>
      <c r="S13" s="232">
        <f>INDEX(饲料厂库存!T:T,COUNTA(饲料厂库存!A:A)-1)</f>
        <v>15</v>
      </c>
      <c r="T13" s="232"/>
      <c r="X13" s="548"/>
      <c r="Y13" s="233"/>
      <c r="Z13" s="233"/>
    </row>
    <row r="14" spans="1:26" ht="20.100000000000001" customHeight="1">
      <c r="A14" s="232" t="s">
        <v>161</v>
      </c>
      <c r="B14" s="232">
        <f>B11+B12+B13</f>
        <v>1686</v>
      </c>
      <c r="C14" s="232">
        <f t="shared" ref="C14:E14" si="9">C11+C12+C13</f>
        <v>1748</v>
      </c>
      <c r="D14" s="232">
        <f t="shared" si="9"/>
        <v>1790</v>
      </c>
      <c r="E14" s="232">
        <f t="shared" si="9"/>
        <v>1839</v>
      </c>
      <c r="F14" s="233"/>
      <c r="G14" s="233"/>
      <c r="J14" s="680"/>
      <c r="K14" s="681"/>
      <c r="L14" s="682"/>
      <c r="M14" s="233"/>
      <c r="N14" s="233"/>
      <c r="O14" s="568" t="s">
        <v>148</v>
      </c>
      <c r="P14" s="232" t="s">
        <v>134</v>
      </c>
      <c r="Q14" s="260">
        <f t="shared" si="7"/>
        <v>0</v>
      </c>
      <c r="R14" s="232">
        <f>INDEX(饲料厂库存!J:J,COUNTA(饲料厂库存!A:A))</f>
        <v>20</v>
      </c>
      <c r="S14" s="232">
        <f>INDEX(饲料厂库存!J:J,COUNTA(饲料厂库存!A:A)-1)</f>
        <v>20</v>
      </c>
      <c r="T14" s="232"/>
    </row>
    <row r="15" spans="1:26" ht="20.100000000000001" customHeight="1">
      <c r="A15" s="232" t="s">
        <v>115</v>
      </c>
      <c r="B15" s="232">
        <f>LOOKUP(2,1/(价格!$B:$B&lt;&gt;0),价格!$B:$B)</f>
        <v>1810</v>
      </c>
      <c r="C15" s="232">
        <f>LOOKUP(2,1/(价格!$D:$D&lt;&gt;0),价格!$D:$D)</f>
        <v>1810</v>
      </c>
      <c r="D15" s="232">
        <f>LOOKUP(2,1/(价格!$D:$D&lt;&gt;0),价格!$D:$D)</f>
        <v>1810</v>
      </c>
      <c r="E15" s="232">
        <f>LOOKUP(2,1/(价格!$B:$B&lt;&gt;0),价格!$B:$B)</f>
        <v>1810</v>
      </c>
      <c r="F15" s="233"/>
      <c r="G15" s="233"/>
      <c r="J15" s="680"/>
      <c r="K15" s="681"/>
      <c r="L15" s="682"/>
      <c r="M15" s="233"/>
      <c r="N15" s="233"/>
      <c r="O15" s="568"/>
      <c r="P15" s="232" t="s">
        <v>136</v>
      </c>
      <c r="Q15" s="260">
        <f t="shared" si="7"/>
        <v>0</v>
      </c>
      <c r="R15" s="232">
        <f>INDEX(饲料厂库存!K:K,COUNTA(饲料厂库存!A:A))</f>
        <v>25</v>
      </c>
      <c r="S15" s="232">
        <f>INDEX(饲料厂库存!K:K,COUNTA(饲料厂库存!A:A)-1)</f>
        <v>25</v>
      </c>
      <c r="T15" s="232"/>
    </row>
    <row r="16" spans="1:26" ht="20.100000000000001" customHeight="1">
      <c r="A16" s="187" t="s">
        <v>162</v>
      </c>
      <c r="B16" s="259">
        <f>B15-B14</f>
        <v>124</v>
      </c>
      <c r="C16" s="259">
        <f t="shared" ref="C16:E16" si="10">C15-C14</f>
        <v>62</v>
      </c>
      <c r="D16" s="259">
        <f t="shared" si="10"/>
        <v>20</v>
      </c>
      <c r="E16" s="259">
        <f t="shared" si="10"/>
        <v>-29</v>
      </c>
      <c r="F16" s="233"/>
      <c r="G16" s="233"/>
      <c r="J16" s="680"/>
      <c r="K16" s="681"/>
      <c r="L16" s="682"/>
      <c r="M16" s="233"/>
      <c r="N16" s="233"/>
      <c r="O16" s="568"/>
      <c r="P16" s="232" t="s">
        <v>144</v>
      </c>
      <c r="Q16" s="260">
        <f t="shared" si="7"/>
        <v>0</v>
      </c>
      <c r="R16" s="232">
        <f>INDEX(饲料厂库存!L:L,COUNTA(饲料厂库存!A:A))</f>
        <v>30</v>
      </c>
      <c r="S16" s="232">
        <f>INDEX(饲料厂库存!L:L,COUNTA(饲料厂库存!A:A)-1)</f>
        <v>30</v>
      </c>
      <c r="T16" s="232"/>
    </row>
    <row r="17" spans="1:20" ht="20.100000000000001" customHeight="1">
      <c r="A17" s="233"/>
      <c r="B17" s="234"/>
      <c r="C17" s="233"/>
      <c r="D17" s="233"/>
      <c r="E17" s="233"/>
      <c r="F17" s="233"/>
      <c r="G17" s="233"/>
      <c r="J17" s="233"/>
      <c r="K17" s="233"/>
      <c r="L17" s="682"/>
      <c r="M17" s="233"/>
      <c r="N17" s="233"/>
      <c r="O17" s="568"/>
      <c r="P17" s="232" t="s">
        <v>145</v>
      </c>
      <c r="Q17" s="260">
        <f t="shared" si="7"/>
        <v>0</v>
      </c>
      <c r="R17" s="232">
        <f>INDEX(饲料厂库存!M:M,COUNTA(饲料厂库存!A:A))</f>
        <v>20</v>
      </c>
      <c r="S17" s="232">
        <f>INDEX(饲料厂库存!M:M,COUNTA(饲料厂库存!A:A)-1)</f>
        <v>20</v>
      </c>
      <c r="T17" s="232"/>
    </row>
    <row r="18" spans="1:20">
      <c r="A18" s="233"/>
      <c r="B18" s="233"/>
      <c r="C18" s="233"/>
      <c r="D18" s="233"/>
      <c r="E18" s="233"/>
      <c r="F18" s="233"/>
      <c r="G18" s="233"/>
      <c r="O18" s="568"/>
      <c r="P18" s="232" t="s">
        <v>146</v>
      </c>
      <c r="Q18" s="260">
        <f t="shared" si="7"/>
        <v>0</v>
      </c>
      <c r="R18" s="232">
        <f>INDEX(饲料厂库存!N:N,COUNTA(饲料厂库存!A:A))</f>
        <v>25</v>
      </c>
      <c r="S18" s="232">
        <f>INDEX(饲料厂库存!N:N,COUNTA(饲料厂库存!A:A)-1)</f>
        <v>25</v>
      </c>
      <c r="T18" s="232"/>
    </row>
    <row r="19" spans="1:20">
      <c r="A19" s="233"/>
      <c r="B19" s="234"/>
      <c r="D19" s="233"/>
      <c r="E19" s="233"/>
      <c r="F19" s="233"/>
      <c r="G19" s="233"/>
      <c r="O19" s="568"/>
      <c r="P19" s="232" t="s">
        <v>135</v>
      </c>
      <c r="Q19" s="260">
        <f t="shared" si="7"/>
        <v>0</v>
      </c>
      <c r="R19" s="232">
        <f>INDEX(饲料厂库存!O:O,COUNTA(饲料厂库存!A:A))</f>
        <v>45</v>
      </c>
      <c r="S19" s="232">
        <f>INDEX(饲料厂库存!O:O,COUNTA(饲料厂库存!A:A)-1)</f>
        <v>45</v>
      </c>
      <c r="T19" s="232"/>
    </row>
    <row r="20" spans="1:20">
      <c r="A20" s="182">
        <f ca="1">TODAY()</f>
        <v>43579</v>
      </c>
      <c r="B20" s="235" t="s">
        <v>283</v>
      </c>
      <c r="C20" s="357" t="s">
        <v>233</v>
      </c>
      <c r="D20" s="357" t="s">
        <v>234</v>
      </c>
      <c r="E20" s="569" t="s">
        <v>304</v>
      </c>
      <c r="F20" s="569"/>
      <c r="G20" s="357" t="s">
        <v>233</v>
      </c>
      <c r="H20" s="357" t="s">
        <v>234</v>
      </c>
      <c r="I20" s="357" t="s">
        <v>298</v>
      </c>
      <c r="O20" s="568"/>
      <c r="P20" s="232" t="s">
        <v>147</v>
      </c>
      <c r="Q20" s="260">
        <f t="shared" si="7"/>
        <v>0</v>
      </c>
      <c r="R20" s="232">
        <f>INDEX(饲料厂库存!P:P,COUNTA(饲料厂库存!A:A))</f>
        <v>25</v>
      </c>
      <c r="S20" s="232">
        <f>INDEX(饲料厂库存!P:P,COUNTA(饲料厂库存!A:A)-1)</f>
        <v>25</v>
      </c>
      <c r="T20" s="232"/>
    </row>
    <row r="21" spans="1:20">
      <c r="A21" s="568" t="s">
        <v>282</v>
      </c>
      <c r="B21" s="311" t="s">
        <v>235</v>
      </c>
      <c r="C21" s="310">
        <f>LOOKUP(2,1/(价格!W:W&lt;&gt;0),价格!W:W)</f>
        <v>1620</v>
      </c>
      <c r="D21" s="326">
        <f>INDEX(价格!W:W,COUNTA(价格!$A:$A)+1)-INDEX(价格!W:W,COUNTA(价格!$A:$A)-4)</f>
        <v>0</v>
      </c>
      <c r="E21" s="568" t="s">
        <v>276</v>
      </c>
      <c r="F21" s="356" t="s">
        <v>267</v>
      </c>
      <c r="G21" s="356">
        <f>LOOKUP(2,1/(价格!B:B&lt;&gt;0),价格!B:B)</f>
        <v>1810</v>
      </c>
      <c r="H21" s="326">
        <f>INDEX(价格!B:B,COUNTA(价格!$A:$A)+1)-INDEX(价格!B:B,COUNTA(价格!$A:$A)-4)</f>
        <v>30</v>
      </c>
      <c r="I21" s="568"/>
    </row>
    <row r="22" spans="1:20">
      <c r="A22" s="568"/>
      <c r="B22" s="311" t="s">
        <v>425</v>
      </c>
      <c r="C22" s="310">
        <f>LOOKUP(2,1/(价格!V:V&lt;&gt;0),价格!V:V)</f>
        <v>1610</v>
      </c>
      <c r="D22" s="326">
        <f>INDEX(价格!V:V,COUNTA(价格!$A:$A)+1)-INDEX(价格!V:V,COUNTA(价格!$A:$A)-4)</f>
        <v>0</v>
      </c>
      <c r="E22" s="568"/>
      <c r="F22" s="356" t="s">
        <v>268</v>
      </c>
      <c r="G22" s="326">
        <f>INDEX(价格!C:C,COUNTA(价格!$A:$A)+1)</f>
        <v>0</v>
      </c>
      <c r="H22" s="326"/>
      <c r="I22" s="568"/>
    </row>
    <row r="23" spans="1:20">
      <c r="A23" s="568"/>
      <c r="B23" s="311" t="s">
        <v>236</v>
      </c>
      <c r="C23" s="310">
        <f>LOOKUP(2,1/(价格!$AB:$AB&lt;&gt;0),价格!$AB:$AB)</f>
        <v>1700</v>
      </c>
      <c r="D23" s="326">
        <f>INDEX(价格!AB:AB,COUNTA(价格!A:A)+1)-INDEX(价格!AB:AB,COUNTA(价格!A:A)-4)</f>
        <v>20</v>
      </c>
      <c r="E23" s="568"/>
      <c r="F23" s="356" t="s">
        <v>269</v>
      </c>
      <c r="G23" s="356">
        <f>LOOKUP(2,1/(价格!D:D&lt;&gt;0),价格!D:D)</f>
        <v>1810</v>
      </c>
      <c r="H23" s="326">
        <f>INDEX(价格!D:D,COUNTA(价格!$A:$A)+1)-INDEX(价格!D:D,COUNTA(价格!$A:$A)-4)</f>
        <v>30</v>
      </c>
      <c r="I23" s="568"/>
      <c r="P23" s="233"/>
      <c r="Q23" s="189" t="s">
        <v>182</v>
      </c>
      <c r="R23" s="189" t="s">
        <v>183</v>
      </c>
      <c r="S23" s="189" t="s">
        <v>184</v>
      </c>
    </row>
    <row r="24" spans="1:20">
      <c r="A24" s="568"/>
      <c r="B24" s="311" t="s">
        <v>237</v>
      </c>
      <c r="C24" s="310">
        <f>LOOKUP(2,1/(价格!AC:AC&lt;&gt;0),价格!AC:AC)</f>
        <v>1680</v>
      </c>
      <c r="D24" s="326">
        <f>INDEX(价格!AC:AC,COUNTA(价格!A:A)+1)-INDEX(价格!AC:AC,COUNTA(价格!A:A)-4)</f>
        <v>50</v>
      </c>
      <c r="E24" s="568"/>
      <c r="F24" s="356" t="s">
        <v>270</v>
      </c>
      <c r="G24" s="326">
        <f>INDEX(价格!E:E,COUNTA(价格!$A:$A)+1)</f>
        <v>0</v>
      </c>
      <c r="H24" s="326"/>
      <c r="I24" s="568"/>
      <c r="P24" s="233" t="s">
        <v>185</v>
      </c>
      <c r="Q24" s="233">
        <v>1700</v>
      </c>
      <c r="R24" s="233">
        <v>1410</v>
      </c>
      <c r="S24" s="233">
        <v>1650</v>
      </c>
    </row>
    <row r="25" spans="1:20">
      <c r="A25" s="568"/>
      <c r="B25" s="311" t="s">
        <v>238</v>
      </c>
      <c r="C25" s="310">
        <f>LOOKUP(2,1/(价格!AD:AD&lt;&gt;0),价格!AD:AD)</f>
        <v>1670</v>
      </c>
      <c r="D25" s="326">
        <f>INDEX(价格!AD:AD,COUNTA(价格!A:A)+1)-INDEX(价格!AD:AD,COUNTA(价格!A:A)-4)</f>
        <v>0</v>
      </c>
      <c r="E25" s="568"/>
      <c r="F25" s="310" t="s">
        <v>271</v>
      </c>
      <c r="G25" s="356">
        <f>LOOKUP(2,1/(价格!H:H&lt;&gt;0),价格!H:H)</f>
        <v>1930</v>
      </c>
      <c r="H25" s="326">
        <f>INDEX(价格!H:H,COUNTA(价格!$A:$A)+1)-INDEX(价格!H:H,COUNTA(价格!$A:$A)-4)</f>
        <v>40</v>
      </c>
      <c r="I25" s="356"/>
      <c r="K25" s="266" t="s">
        <v>331</v>
      </c>
      <c r="L25" s="266" t="s">
        <v>328</v>
      </c>
      <c r="M25" s="266" t="s">
        <v>329</v>
      </c>
      <c r="N25" s="266" t="s">
        <v>330</v>
      </c>
      <c r="P25" s="180" t="s">
        <v>186</v>
      </c>
      <c r="Q25" s="180">
        <v>1650</v>
      </c>
      <c r="R25" s="180">
        <v>1810</v>
      </c>
      <c r="S25" s="180">
        <v>1790</v>
      </c>
    </row>
    <row r="26" spans="1:20">
      <c r="A26" s="568"/>
      <c r="B26" s="311" t="s">
        <v>426</v>
      </c>
      <c r="C26" s="310">
        <f>LOOKUP(2,1/(价格!AA:AA&lt;&gt;0),价格!AA:AA)</f>
        <v>1640</v>
      </c>
      <c r="D26" s="326">
        <f>INDEX(价格!AA:AA,COUNTA(价格!A:A)+1)-INDEX(价格!AA:AA,COUNTA(价格!A:A)-4)</f>
        <v>0</v>
      </c>
      <c r="E26" s="568"/>
      <c r="F26" s="356" t="s">
        <v>272</v>
      </c>
      <c r="G26" s="356">
        <f>LOOKUP(2,1/(价格!L:L&lt;&gt;0),价格!L:L)</f>
        <v>1930</v>
      </c>
      <c r="H26" s="326">
        <f>INDEX(价格!L:L,COUNTA(价格!$A:$A)+1)-INDEX(价格!L:L,COUNTA(价格!$A:$A)-4)</f>
        <v>40</v>
      </c>
      <c r="I26" s="356"/>
      <c r="K26" s="267" t="s">
        <v>321</v>
      </c>
      <c r="L26" s="267">
        <v>3250.2</v>
      </c>
      <c r="M26" s="540">
        <v>3189.96</v>
      </c>
      <c r="N26" s="337">
        <f>(L26-M26)/M26</f>
        <v>1.8884249332279959E-2</v>
      </c>
      <c r="P26" s="180" t="s">
        <v>187</v>
      </c>
      <c r="Q26" s="180">
        <v>1810</v>
      </c>
      <c r="R26" s="180">
        <v>1750</v>
      </c>
      <c r="S26" s="180">
        <v>1950</v>
      </c>
    </row>
    <row r="27" spans="1:20">
      <c r="A27" s="568"/>
      <c r="B27" s="311" t="s">
        <v>332</v>
      </c>
      <c r="C27" s="310">
        <f>LOOKUP(2,1/(价格!$X:$X&lt;&gt;0),价格!$X:$X)</f>
        <v>1630</v>
      </c>
      <c r="D27" s="326">
        <f>INDEX(价格!X:X,COUNTA(价格!A:A)+1)-INDEX(价格!X:X,COUNTA(价格!A:A)-4)</f>
        <v>0</v>
      </c>
      <c r="E27" s="568"/>
      <c r="F27" s="356" t="s">
        <v>273</v>
      </c>
      <c r="G27" s="356">
        <f>LOOKUP(2,1/(价格!J:J&lt;&gt;0),价格!J:J)</f>
        <v>1940</v>
      </c>
      <c r="H27" s="326">
        <f>INDEX(价格!J:J,COUNTA(价格!$A:$A)+1)-INDEX(价格!J:J,COUNTA(价格!$A:$A)-4)</f>
        <v>40</v>
      </c>
      <c r="I27" s="356"/>
      <c r="K27" s="267" t="s">
        <v>322</v>
      </c>
      <c r="L27" s="267">
        <v>2900.45</v>
      </c>
      <c r="M27" s="540">
        <v>2888.21</v>
      </c>
      <c r="N27" s="337">
        <f t="shared" ref="N27:N34" si="11">(L27-M27)/M27</f>
        <v>4.2379189878851541E-3</v>
      </c>
    </row>
    <row r="28" spans="1:20">
      <c r="A28" s="568"/>
      <c r="B28" s="311" t="s">
        <v>354</v>
      </c>
      <c r="C28" s="310" t="str">
        <f>LOOKUP(2,1/(价格!AE:AE&lt;&gt;0),价格!AE:AE)</f>
        <v>停收</v>
      </c>
      <c r="D28" s="326">
        <f>INDEX(价格!AE:AE,COUNTA(价格!A:A)+1)-INDEX(价格!AE:AE,COUNTA(价格!A:A)-2)</f>
        <v>0</v>
      </c>
      <c r="E28" s="568"/>
      <c r="F28" s="356" t="s">
        <v>274</v>
      </c>
      <c r="G28" s="356">
        <f>LOOKUP(2,1/(价格!N:N&lt;&gt;0),价格!N:N)</f>
        <v>1930</v>
      </c>
      <c r="H28" s="326">
        <f>INDEX(价格!N:N,COUNTA(价格!$A:$A)+1)-INDEX(价格!N:N,COUNTA(价格!$A:$A)-4)</f>
        <v>40</v>
      </c>
      <c r="I28" s="356"/>
      <c r="K28" s="267" t="s">
        <v>323</v>
      </c>
      <c r="L28" s="267">
        <v>1.1294</v>
      </c>
      <c r="M28" s="540">
        <v>1.1284000000000001</v>
      </c>
      <c r="N28" s="337">
        <f t="shared" si="11"/>
        <v>8.8621056362982078E-4</v>
      </c>
    </row>
    <row r="29" spans="1:20">
      <c r="A29" s="568"/>
      <c r="B29" s="311" t="s">
        <v>252</v>
      </c>
      <c r="C29" s="310" t="str">
        <f>LOOKUP(2,1/(价格!$AH:$AH&lt;&gt;0),价格!$AH:$AH)</f>
        <v>停收</v>
      </c>
      <c r="D29" s="326">
        <f>INDEX(价格!AH:AH,COUNTA(价格!A:A)+1)-INDEX(价格!AH:AH,COUNTA(价格!A:A)-2)</f>
        <v>0</v>
      </c>
      <c r="E29" s="568" t="s">
        <v>424</v>
      </c>
      <c r="F29" s="356" t="s">
        <v>301</v>
      </c>
      <c r="G29" s="356">
        <f>LOOKUP(2,1/(价格!BL:BL&lt;&gt;0),价格!BL:BL)</f>
        <v>1950</v>
      </c>
      <c r="H29" s="326">
        <f>INDEX(价格!BL:BL,COUNTA(价格!A:A)+1)-INDEX(价格!BL:BL,COUNTA(价格!A:A)-4)</f>
        <v>0</v>
      </c>
      <c r="I29" s="356"/>
      <c r="K29" s="267" t="s">
        <v>324</v>
      </c>
      <c r="L29" s="267">
        <v>1273.96</v>
      </c>
      <c r="M29" s="540">
        <v>1305.24</v>
      </c>
      <c r="N29" s="337">
        <f t="shared" si="11"/>
        <v>-2.3964941313474895E-2</v>
      </c>
    </row>
    <row r="30" spans="1:20">
      <c r="A30" s="568" t="s">
        <v>281</v>
      </c>
      <c r="B30" s="311" t="s">
        <v>255</v>
      </c>
      <c r="C30" s="310">
        <f>LOOKUP(2,1/(价格!AO:AO&lt;&gt;0),价格!AO:AO)</f>
        <v>1660</v>
      </c>
      <c r="D30" s="326">
        <f>INDEX(价格!AO:AO,COUNTA(价格!A:A)+1)-INDEX(价格!AO:AO,COUNTA(价格!A:A)-4)</f>
        <v>0</v>
      </c>
      <c r="E30" s="568"/>
      <c r="F30" s="356" t="s">
        <v>275</v>
      </c>
      <c r="G30" s="356">
        <f>LOOKUP(2,1/(价格!BJ:BJ&lt;&gt;0),价格!BJ:BJ)</f>
        <v>1960</v>
      </c>
      <c r="H30" s="326">
        <f>INDEX(价格!BJ:BJ,COUNTA(价格!A:A)+1)-INDEX(价格!BJ:BJ,COUNTA(价格!A:A)-4)</f>
        <v>30</v>
      </c>
      <c r="I30" s="356"/>
      <c r="K30" s="267" t="s">
        <v>325</v>
      </c>
      <c r="L30" s="267">
        <v>6.6932</v>
      </c>
      <c r="M30" s="540">
        <v>6.7232000000000003</v>
      </c>
      <c r="N30" s="337">
        <f t="shared" si="11"/>
        <v>-4.4621608757734778E-3</v>
      </c>
    </row>
    <row r="31" spans="1:20">
      <c r="A31" s="568"/>
      <c r="B31" s="310" t="s">
        <v>254</v>
      </c>
      <c r="C31" s="310">
        <f>LOOKUP(2,1/(价格!AP:AP&lt;&gt;0),价格!AP:AP)</f>
        <v>1730</v>
      </c>
      <c r="D31" s="326">
        <f>INDEX(价格!AP:AP,COUNTA(价格!A:A)+1)-INDEX(价格!AP:AP,COUNTA(价格!A:A)-4)</f>
        <v>20</v>
      </c>
      <c r="E31" s="568"/>
      <c r="F31" s="356" t="s">
        <v>302</v>
      </c>
      <c r="G31" s="356">
        <f>LOOKUP(2,1/(价格!BI:BI&lt;&gt;0),价格!BI:BI)</f>
        <v>2110</v>
      </c>
      <c r="H31" s="326">
        <f>INDEX(价格!BI:BI,COUNTA(价格!A:A)+1)-INDEX(价格!BI:BI,COUNTA(价格!A:A)-4)</f>
        <v>20</v>
      </c>
      <c r="I31" s="356"/>
      <c r="K31" s="267" t="s">
        <v>326</v>
      </c>
      <c r="L31" s="267">
        <v>71.45</v>
      </c>
      <c r="M31" s="540">
        <v>71.33</v>
      </c>
      <c r="N31" s="337">
        <f t="shared" si="11"/>
        <v>1.682321603813326E-3</v>
      </c>
    </row>
    <row r="32" spans="1:20">
      <c r="A32" s="568"/>
      <c r="B32" s="310" t="s">
        <v>257</v>
      </c>
      <c r="C32" s="310">
        <f>LOOKUP(2,1/(价格!$AK:$AK&lt;&gt;0),价格!$AK:$AK)</f>
        <v>1690</v>
      </c>
      <c r="D32" s="326">
        <f>INDEX(价格!AK:AK,COUNTA(价格!A:A)+1)-INDEX(价格!AK:AK,COUNTA(价格!A:A)-4)</f>
        <v>0</v>
      </c>
      <c r="E32" s="568"/>
      <c r="F32" s="356" t="s">
        <v>303</v>
      </c>
      <c r="G32" s="356">
        <f>LOOKUP(2,1/(价格!BK:BK&lt;&gt;0),价格!BK:BK)</f>
        <v>1950</v>
      </c>
      <c r="H32" s="326">
        <f>INDEX(价格!BK:BK,COUNTA(价格!A:A)+1)-INDEX(价格!BK:BK,COUNTA(价格!A:A)-4)</f>
        <v>20</v>
      </c>
      <c r="I32" s="356"/>
      <c r="K32" s="267" t="s">
        <v>327</v>
      </c>
      <c r="L32" s="267">
        <v>5299.9</v>
      </c>
      <c r="M32" s="540">
        <v>5204</v>
      </c>
      <c r="N32" s="337">
        <f t="shared" si="11"/>
        <v>1.8428132205995318E-2</v>
      </c>
    </row>
    <row r="33" spans="1:14">
      <c r="A33" s="568"/>
      <c r="B33" s="356" t="s">
        <v>355</v>
      </c>
      <c r="C33" s="356">
        <f>LOOKUP(2,1/(价格!AQ:AQ&lt;&gt;0),价格!AQ:AQ)</f>
        <v>1690</v>
      </c>
      <c r="D33" s="326">
        <f>INDEX(价格!AQ:AQ,COUNTA(价格!A:A)+1)-INDEX(价格!AQ:AQ,COUNTA(价格!A:A)-4)</f>
        <v>40</v>
      </c>
      <c r="E33" s="357" t="s">
        <v>357</v>
      </c>
      <c r="F33" s="357" t="s">
        <v>291</v>
      </c>
      <c r="G33" s="357" t="s">
        <v>316</v>
      </c>
      <c r="H33" s="357" t="s">
        <v>317</v>
      </c>
      <c r="I33" s="357" t="s">
        <v>292</v>
      </c>
      <c r="K33" s="267" t="s">
        <v>452</v>
      </c>
      <c r="L33" s="267">
        <v>367</v>
      </c>
      <c r="M33" s="540">
        <v>362</v>
      </c>
      <c r="N33" s="337">
        <f t="shared" si="11"/>
        <v>1.3812154696132596E-2</v>
      </c>
    </row>
    <row r="34" spans="1:14">
      <c r="A34" s="568"/>
      <c r="B34" s="356" t="s">
        <v>428</v>
      </c>
      <c r="C34" s="356">
        <f>LOOKUP(2,1/(价格!AR:AR&lt;&gt;0),价格!AR:AR)</f>
        <v>1680</v>
      </c>
      <c r="D34" s="326">
        <f>INDEX(价格!AR:AR,COUNTA(价格!A:A)+1)-INDEX(价格!AR:AR,COUNTA(价格!A:A)-4)</f>
        <v>0</v>
      </c>
      <c r="E34" s="356" t="s">
        <v>284</v>
      </c>
      <c r="F34" s="356">
        <f>LOOKUP(2,1/(NSPort!B:B&lt;&gt;0),NSPort!B:B)</f>
        <v>215.90000000000009</v>
      </c>
      <c r="G34" s="356">
        <f>LOOKUP(2,1/(NSPort!C:C&lt;&gt;0),NSPort!C:C)</f>
        <v>21.7</v>
      </c>
      <c r="H34" s="356">
        <f>LOOKUP(2,1/(NSPort!D:D&lt;&gt;0),NSPort!D:D)</f>
        <v>19.2</v>
      </c>
      <c r="I34" s="356">
        <f>LOOKUP(2,1/(NSPort!E:E&lt;&gt;0),NSPort!E:E)</f>
        <v>218.40000000000009</v>
      </c>
      <c r="K34" s="267" t="s">
        <v>461</v>
      </c>
      <c r="L34" s="267">
        <v>1895</v>
      </c>
      <c r="M34" s="540">
        <v>1881</v>
      </c>
      <c r="N34" s="337">
        <f t="shared" si="11"/>
        <v>7.4428495481127059E-3</v>
      </c>
    </row>
    <row r="35" spans="1:14">
      <c r="A35" s="568"/>
      <c r="B35" s="356" t="s">
        <v>256</v>
      </c>
      <c r="C35" s="356">
        <f>LOOKUP(2,1/(价格!AN:AN&lt;&gt;0),价格!AN:AN)</f>
        <v>1730</v>
      </c>
      <c r="D35" s="326">
        <f>INDEX(价格!AN:AN,COUNTA(价格!A:A)+1)-INDEX(价格!AN:AN,COUNTA(价格!A:A)-4)</f>
        <v>30</v>
      </c>
      <c r="E35" s="356" t="s">
        <v>285</v>
      </c>
      <c r="F35" s="356">
        <f>LOOKUP(2,1/(NSPort!G:G&lt;&gt;0),NSPort!G:G)</f>
        <v>167.99999999999997</v>
      </c>
      <c r="G35" s="356">
        <f>LOOKUP(2,1/(NSPort!H:H&lt;&gt;0),NSPort!H:H)</f>
        <v>13.8</v>
      </c>
      <c r="H35" s="356">
        <f>LOOKUP(2,1/(NSPort!I:I&lt;&gt;0),NSPort!I:I)</f>
        <v>11.8</v>
      </c>
      <c r="I35" s="356">
        <f>LOOKUP(2,1/(NSPort!J:J&lt;&gt;0),NSPort!J:J)</f>
        <v>169.99999999999997</v>
      </c>
    </row>
    <row r="36" spans="1:14">
      <c r="A36" s="568" t="s">
        <v>280</v>
      </c>
      <c r="B36" s="356" t="s">
        <v>259</v>
      </c>
      <c r="C36" s="356">
        <f>LOOKUP(2,1/(价格!AW:AW&lt;&gt;0),价格!AW:AW)</f>
        <v>1730</v>
      </c>
      <c r="D36" s="326">
        <f>INDEX(价格!AW:AW,COUNTA(价格!A:A)+1)-INDEX(价格!AW:AW,COUNTA(价格!A:A)-4)</f>
        <v>0</v>
      </c>
      <c r="E36" s="356" t="s">
        <v>286</v>
      </c>
      <c r="F36" s="356">
        <f>LOOKUP(2,1/(NSPort!K:K&lt;&gt;0),NSPort!K:K)</f>
        <v>71.000000000000014</v>
      </c>
      <c r="G36" s="356">
        <f>LOOKUP(2,1/(NSPort!L:L&lt;&gt;0),NSPort!L:L)</f>
        <v>4.4000000000000004</v>
      </c>
      <c r="H36" s="356">
        <f>LOOKUP(2,1/(NSPort!M:M&lt;&gt;0),NSPort!M:M)</f>
        <v>4.2</v>
      </c>
      <c r="I36" s="356">
        <f>LOOKUP(2,1/(NSPort!N:N&lt;&gt;0),NSPort!N:N)</f>
        <v>71.200000000000017</v>
      </c>
    </row>
    <row r="37" spans="1:14">
      <c r="A37" s="568"/>
      <c r="B37" s="356" t="s">
        <v>260</v>
      </c>
      <c r="C37" s="356">
        <f>LOOKUP(2,1/(价格!AX:AX&lt;&gt;0),价格!AX:AX)</f>
        <v>1640</v>
      </c>
      <c r="D37" s="326">
        <f>INDEX(价格!AX:AX,COUNTA(价格!A:A)+1)-INDEX(价格!AX:AX,COUNTA(价格!A:A)-4)</f>
        <v>20</v>
      </c>
      <c r="E37" s="356" t="s">
        <v>287</v>
      </c>
      <c r="F37" s="356">
        <f>LOOKUP(2,1/(NSPort!O:O&lt;&gt;0),NSPort!O:O)</f>
        <v>23</v>
      </c>
      <c r="G37" s="356">
        <f>LOOKUP(2,1/(NSPort!P:P&lt;&gt;0),NSPort!P:P)</f>
        <v>3.1</v>
      </c>
      <c r="H37" s="356">
        <f>LOOKUP(2,1/(NSPort!Q:Q&lt;&gt;0),NSPort!Q:Q)</f>
        <v>0.4</v>
      </c>
      <c r="I37" s="356">
        <f>LOOKUP(2,1/(NSPort!R:R&lt;&gt;0),NSPort!R:R)</f>
        <v>22.6</v>
      </c>
    </row>
    <row r="38" spans="1:14">
      <c r="A38" s="356" t="s">
        <v>279</v>
      </c>
      <c r="B38" s="356" t="s">
        <v>261</v>
      </c>
      <c r="C38" s="356">
        <f>LOOKUP(2,1/(价格!$AT:$AT&lt;&gt;0),价格!$AT:$AT)</f>
        <v>1720</v>
      </c>
      <c r="D38" s="326">
        <f>INDEX(价格!AT:AT,COUNTA(价格!A:A)+1)-INDEX(价格!AT:AT,COUNTA(价格!A:A)-4)</f>
        <v>0</v>
      </c>
      <c r="E38" s="356" t="s">
        <v>288</v>
      </c>
      <c r="F38" s="356">
        <f>LOOKUP(2,1/(NSPort!X:X&lt;&gt;0),NSPort!X:X)</f>
        <v>98.399999999999977</v>
      </c>
      <c r="G38" s="356">
        <f>LOOKUP(2,1/(NSPort!Y:Y&lt;&gt;0),NSPort!Y:Y)</f>
        <v>11.2</v>
      </c>
      <c r="H38" s="356">
        <f>LOOKUP(2,1/(NSPort!Z:Z&lt;&gt;0),NSPort!Z:Z)</f>
        <v>16.600000000000001</v>
      </c>
      <c r="I38" s="356">
        <f>LOOKUP(2,1/(NSPort!AA:AA&lt;&gt;0),NSPort!AA:AA)</f>
        <v>92.999999999999972</v>
      </c>
      <c r="J38" s="288"/>
    </row>
    <row r="39" spans="1:14">
      <c r="A39" s="568" t="s">
        <v>277</v>
      </c>
      <c r="B39" s="356" t="s">
        <v>266</v>
      </c>
      <c r="C39" s="356">
        <f>LOOKUP(2,1/(价格!$AY:$AY&lt;&gt;0),价格!$AY:$AY)</f>
        <v>1850</v>
      </c>
      <c r="D39" s="326">
        <f>INDEX(价格!AY:AY,COUNTA(价格!A:A)+1)-INDEX(价格!AY:AY,COUNTA(价格!A:A)-4)</f>
        <v>0</v>
      </c>
      <c r="E39" s="356" t="s">
        <v>289</v>
      </c>
      <c r="F39" s="356">
        <f>LOOKUP(2,1/(NSPort!AN:AN&lt;&gt;0),NSPort!AN:AN)</f>
        <v>23.300000000000011</v>
      </c>
      <c r="G39" s="356">
        <f>LOOKUP(2,1/(NSPort!AO:AO&lt;&gt;0),NSPort!AO:AO)</f>
        <v>5.0999999999999996</v>
      </c>
      <c r="H39" s="356">
        <f>LOOKUP(2,1/(NSPort!AP:AP&lt;&gt;0),NSPort!AP:AP)</f>
        <v>7.1</v>
      </c>
      <c r="I39" s="356">
        <f>LOOKUP(2,1/(NSPort!AQ:AQ&lt;&gt;0),NSPort!AQ:AQ)</f>
        <v>21.300000000000011</v>
      </c>
      <c r="J39" s="288"/>
    </row>
    <row r="40" spans="1:14">
      <c r="A40" s="568"/>
      <c r="B40" s="356" t="s">
        <v>430</v>
      </c>
      <c r="C40" s="356">
        <f>LOOKUP(2,1/(价格!$AZ:$AZ&lt;&gt;0),价格!$AZ:$AZ)</f>
        <v>1820</v>
      </c>
      <c r="D40" s="326">
        <f>INDEX(价格!AZ:AZ,COUNTA(价格!A:A)+1)-INDEX(价格!AZ:AZ,COUNTA(价格!A:A)-4)</f>
        <v>-30</v>
      </c>
      <c r="E40" s="356" t="s">
        <v>290</v>
      </c>
      <c r="F40" s="356">
        <f>LOOKUP(2,1/(NSPort!AJ:AJ&lt;&gt;0),NSPort!AJ:AJ)</f>
        <v>18.899999999999984</v>
      </c>
      <c r="G40" s="356">
        <f>LOOKUP(2,1/(NSPort!AK:AK&lt;&gt;0),NSPort!AK:AK)</f>
        <v>4.9000000000000004</v>
      </c>
      <c r="H40" s="356">
        <f>LOOKUP(2,1/(NSPort!AL:AL&lt;&gt;0),NSPort!AL:AL)</f>
        <v>3.1</v>
      </c>
      <c r="I40" s="356">
        <f>LOOKUP(2,1/(NSPort!AM:AM&lt;&gt;0),NSPort!AM:AM)</f>
        <v>15.799999999999985</v>
      </c>
    </row>
    <row r="41" spans="1:14">
      <c r="A41" s="568" t="s">
        <v>278</v>
      </c>
      <c r="B41" s="356" t="s">
        <v>262</v>
      </c>
      <c r="C41" s="356">
        <f>LOOKUP(2,1/(价格!$BC:$BC&lt;&gt;0),价格!$BC:$BC)</f>
        <v>1970</v>
      </c>
      <c r="D41" s="326">
        <f>INDEX(价格!BC:BC,COUNTA(价格!A:A)+1)-INDEX(价格!BC:BC,COUNTA(价格!A:A)-4)</f>
        <v>30</v>
      </c>
      <c r="E41" s="569" t="s">
        <v>349</v>
      </c>
      <c r="F41" s="569"/>
      <c r="G41" s="357" t="s">
        <v>350</v>
      </c>
      <c r="H41" s="357" t="s">
        <v>351</v>
      </c>
      <c r="I41" s="357" t="s">
        <v>352</v>
      </c>
    </row>
    <row r="42" spans="1:14">
      <c r="A42" s="568"/>
      <c r="B42" s="356" t="s">
        <v>263</v>
      </c>
      <c r="C42" s="356">
        <f>LOOKUP(2,1/(价格!$BD:$BD&lt;&gt;0),价格!$BD:$BD)</f>
        <v>1970</v>
      </c>
      <c r="D42" s="326">
        <f>INDEX(价格!BD:BD,COUNTA(价格!A:A)+1)-INDEX(价格!BD:BD,COUNTA(价格!A:A)-4)</f>
        <v>20</v>
      </c>
      <c r="E42" s="568" t="s">
        <v>347</v>
      </c>
      <c r="F42" s="568"/>
      <c r="G42" s="356">
        <f>INDEX(NSPort!V:V, COUNTA(NSPort!A:A)+1)</f>
        <v>482.20000000000016</v>
      </c>
      <c r="H42" s="356">
        <f>INDEX(NSPort!V:V, COUNTA(NSPort!A:A)-50)</f>
        <v>258.09999999999997</v>
      </c>
      <c r="I42" s="289">
        <f>(G42-H42)/H42</f>
        <v>0.86826811313444485</v>
      </c>
    </row>
    <row r="43" spans="1:14">
      <c r="A43" s="568"/>
      <c r="B43" s="356" t="s">
        <v>264</v>
      </c>
      <c r="C43" s="356">
        <f>LOOKUP(2,1/(价格!$BE:$BE&lt;&gt;0),价格!$BE:$BE)</f>
        <v>1940</v>
      </c>
      <c r="D43" s="326">
        <f>INDEX(价格!BE:BE,COUNTA(价格!A:A)+1)-INDEX(价格!BE:BE,COUNTA(价格!A:A)-4)</f>
        <v>0</v>
      </c>
      <c r="E43" s="568" t="s">
        <v>348</v>
      </c>
      <c r="F43" s="568"/>
      <c r="G43" s="356">
        <f>INDEX(NSPort!AA:AA, COUNTA(NSPort!A:A)+1)+INDEX(NSPort!AM:AM, COUNTA(NSPort!A:A)+1)</f>
        <v>117.29999999999995</v>
      </c>
      <c r="H43" s="356">
        <f>INDEX(NSPort!AA:AA, COUNTA(NSPort!A:A)-50)+INDEX(NSPort!AM:AM, COUNTA(NSPort!A:A)-50)</f>
        <v>57.5</v>
      </c>
      <c r="I43" s="289">
        <f>(G43-H43)/H43</f>
        <v>1.0399999999999991</v>
      </c>
    </row>
    <row r="44" spans="1:14">
      <c r="A44" s="568"/>
      <c r="B44" s="356" t="s">
        <v>265</v>
      </c>
      <c r="C44" s="356">
        <f>LOOKUP(2,1/(价格!BF:BF&lt;&gt;0),价格!BF:BF)</f>
        <v>1930</v>
      </c>
      <c r="D44" s="326">
        <f>INDEX(价格!BF:BF,COUNTA(价格!A:A)+1)-INDEX(价格!BF:BF,COUNTA(价格!A:A)-4)</f>
        <v>0</v>
      </c>
      <c r="E44" s="357" t="s">
        <v>293</v>
      </c>
      <c r="F44" s="357" t="s">
        <v>386</v>
      </c>
      <c r="G44" s="357" t="s">
        <v>296</v>
      </c>
      <c r="H44" s="357" t="s">
        <v>297</v>
      </c>
      <c r="I44" s="357" t="s">
        <v>306</v>
      </c>
    </row>
    <row r="45" spans="1:14">
      <c r="A45" s="568"/>
      <c r="B45" s="356" t="s">
        <v>432</v>
      </c>
      <c r="C45" s="356">
        <f>LOOKUP(2,1/(价格!BB:BB&lt;&gt;0),价格!BB:BB)</f>
        <v>1844</v>
      </c>
      <c r="D45" s="326">
        <f>INDEX(价格!BB:BB,COUNTA(价格!A:A)+1)-INDEX(价格!BB:BB,COUNTA(价格!A:A)-4)</f>
        <v>-12</v>
      </c>
      <c r="E45" s="310" t="s">
        <v>294</v>
      </c>
      <c r="F45" s="356">
        <f>LOOKUP(2,1/(价格!$H:$H&lt;&gt;0),价格!$H:$H)</f>
        <v>1930</v>
      </c>
      <c r="G45" s="356">
        <f>LOOKUP(2,1/(价格!$P:$P&lt;&gt;0),价格!$P:$P)</f>
        <v>42</v>
      </c>
      <c r="H45" s="258">
        <f>LOOKUP(2,1/(价格!$I:$I&lt;&gt;0),价格!$I:$I)</f>
        <v>-12</v>
      </c>
      <c r="I45" s="326">
        <f>INDEX(价格!I:I,COUNTA(价格!$A:$A)+1)-INDEX(价格!I:I,COUNTA(价格!$A:$A)-4)</f>
        <v>12</v>
      </c>
    </row>
    <row r="46" spans="1:14">
      <c r="A46" s="568"/>
      <c r="B46" s="356" t="s">
        <v>435</v>
      </c>
      <c r="C46" s="356">
        <f>LOOKUP(2,1/(价格!BA:BA&lt;&gt;0),价格!BA:BA)</f>
        <v>1898</v>
      </c>
      <c r="D46" s="326">
        <f>INDEX(价格!BA:BA,COUNTA(价格!A:A)+1)-INDEX(价格!BA:BA,COUNTA(价格!A:A)-4)</f>
        <v>-12</v>
      </c>
      <c r="E46" s="356" t="s">
        <v>295</v>
      </c>
      <c r="F46" s="356">
        <f>LOOKUP(2,1/(价格!$L:$L&lt;&gt;0),价格!$L:$L)</f>
        <v>1930</v>
      </c>
      <c r="G46" s="356">
        <f>LOOKUP(2,1/(价格!$Q:$Q&lt;&gt;0),价格!$Q:$Q)</f>
        <v>53</v>
      </c>
      <c r="H46" s="258">
        <f>LOOKUP(2,1/(价格!$M:$M&lt;&gt;0),价格!$M:$M)</f>
        <v>-23</v>
      </c>
      <c r="I46" s="326">
        <f>INDEX(价格!M:M,COUNTA(价格!$A:$A)+1)-INDEX(价格!M:M,COUNTA(价格!$A:$A)-4)</f>
        <v>11</v>
      </c>
    </row>
    <row r="47" spans="1:14">
      <c r="A47" s="568"/>
      <c r="B47" s="356" t="s">
        <v>436</v>
      </c>
      <c r="C47" s="356">
        <f>LOOKUP(2,1/(价格!BG:BG&lt;&gt;0),价格!BG:BG)</f>
        <v>1924</v>
      </c>
      <c r="D47" s="326">
        <f>INDEX(价格!BG:BG,COUNTA(价格!A:A)+1)-INDEX(价格!BG:BG,COUNTA(价格!A:A)-4)</f>
        <v>-16</v>
      </c>
      <c r="E47" s="356" t="s">
        <v>299</v>
      </c>
      <c r="F47" s="356">
        <f>LOOKUP(2,1/(价格!$J:$J&lt;&gt;0),价格!$J:$J)</f>
        <v>1940</v>
      </c>
      <c r="G47" s="356">
        <f>LOOKUP(2,1/(价格!$R:$R&lt;&gt;0),价格!$R:$R)</f>
        <v>40</v>
      </c>
      <c r="H47" s="258">
        <f>LOOKUP(2,1/(价格!$K:$K&lt;&gt;0),价格!$K:$K)</f>
        <v>-20</v>
      </c>
      <c r="I47" s="326">
        <f>INDEX(价格!K:K,COUNTA(价格!$A:$A)+1)-INDEX(价格!K:K,COUNTA(价格!$A:$A)-4)</f>
        <v>12</v>
      </c>
    </row>
    <row r="48" spans="1:14">
      <c r="A48" s="568"/>
      <c r="B48" s="356" t="s">
        <v>434</v>
      </c>
      <c r="C48" s="356">
        <f>LOOKUP(2,1/(价格!BH:BH&lt;&gt;0),价格!BH:BH)</f>
        <v>1950</v>
      </c>
      <c r="D48" s="326">
        <f>INDEX(价格!BH:BH,COUNTA(价格!A:A)+1)-INDEX(价格!BH:BH,COUNTA(价格!A:A)-4)</f>
        <v>0</v>
      </c>
      <c r="E48" s="356" t="s">
        <v>300</v>
      </c>
      <c r="F48" s="356">
        <f>LOOKUP(2,1/(价格!$N:$N&lt;&gt;0),价格!$N:$N)</f>
        <v>1930</v>
      </c>
      <c r="G48" s="356">
        <f>LOOKUP(2,1/(价格!$S:$S&lt;&gt;0),价格!$S:$S)</f>
        <v>39</v>
      </c>
      <c r="H48" s="258">
        <f>LOOKUP(2,1/(价格!$O:$O&lt;&gt;0),价格!$O:$O)</f>
        <v>-9</v>
      </c>
      <c r="I48" s="326">
        <f>INDEX(价格!O:O,COUNTA(价格!$A:$A)+1)-INDEX(价格!O:O,COUNTA(价格!$A:$A)-4)</f>
        <v>10</v>
      </c>
    </row>
    <row r="49" spans="1:9">
      <c r="A49" s="233"/>
      <c r="B49" s="233"/>
      <c r="C49" s="233"/>
      <c r="D49" s="290"/>
    </row>
    <row r="50" spans="1:9">
      <c r="A50" s="233"/>
      <c r="B50" s="233"/>
      <c r="C50" s="233"/>
      <c r="D50" s="290"/>
    </row>
    <row r="51" spans="1:9">
      <c r="A51" s="233"/>
      <c r="B51" s="233"/>
      <c r="C51" s="233"/>
      <c r="D51" s="290"/>
    </row>
    <row r="52" spans="1:9">
      <c r="A52" s="233"/>
      <c r="B52" s="233"/>
      <c r="C52" s="233"/>
      <c r="D52" s="290"/>
    </row>
    <row r="53" spans="1:9">
      <c r="A53" s="233"/>
      <c r="B53" s="233"/>
      <c r="C53" s="233"/>
      <c r="D53" s="290"/>
    </row>
    <row r="54" spans="1:9">
      <c r="A54" s="233"/>
      <c r="B54" s="233"/>
      <c r="C54" s="233"/>
      <c r="D54" s="290"/>
    </row>
    <row r="55" spans="1:9">
      <c r="A55" s="233"/>
      <c r="B55" s="233"/>
      <c r="C55" s="233"/>
      <c r="D55" s="290"/>
    </row>
    <row r="56" spans="1:9">
      <c r="A56" s="233"/>
      <c r="B56" s="233"/>
      <c r="C56" s="233"/>
      <c r="D56" s="290"/>
    </row>
    <row r="57" spans="1:9">
      <c r="A57" s="233"/>
      <c r="B57" s="233"/>
      <c r="C57" s="233"/>
      <c r="D57" s="290"/>
    </row>
    <row r="58" spans="1:9">
      <c r="A58" s="233"/>
      <c r="B58" s="233"/>
      <c r="C58" s="233"/>
      <c r="D58" s="290"/>
    </row>
    <row r="59" spans="1:9">
      <c r="A59" s="180" t="s">
        <v>356</v>
      </c>
    </row>
    <row r="60" spans="1:9">
      <c r="A60" s="277" t="s">
        <v>334</v>
      </c>
      <c r="B60" s="182">
        <f>INDEX(salerate!BM:BM, COUNTA(salerate!BM:BM))</f>
        <v>43555</v>
      </c>
      <c r="C60" s="277" t="s">
        <v>335</v>
      </c>
      <c r="D60" s="277" t="s">
        <v>336</v>
      </c>
      <c r="H60" s="180" t="s">
        <v>345</v>
      </c>
      <c r="I60" s="180" t="s">
        <v>346</v>
      </c>
    </row>
    <row r="61" spans="1:9">
      <c r="A61" s="278" t="s">
        <v>337</v>
      </c>
      <c r="B61" s="279">
        <f>INDEX(salerate!BN:BN, COUNTA(salerate!$BM:$BM))</f>
        <v>0.9</v>
      </c>
      <c r="C61" s="279">
        <f>INDEX(salerate!BF:BF, COUNTA(salerate!$BM:$BM))</f>
        <v>0.9</v>
      </c>
      <c r="D61" s="280">
        <f>B61-C61</f>
        <v>0</v>
      </c>
    </row>
    <row r="62" spans="1:9">
      <c r="A62" s="278" t="s">
        <v>338</v>
      </c>
      <c r="B62" s="279">
        <f>INDEX(salerate!BO:BO, COUNTA(salerate!$BM:$BM))</f>
        <v>0.82</v>
      </c>
      <c r="C62" s="279">
        <f>INDEX(salerate!BG:BG, COUNTA(salerate!$BM:$BM))</f>
        <v>0.83</v>
      </c>
      <c r="D62" s="280">
        <f t="shared" ref="D62:D67" si="12">B62-C62</f>
        <v>-1.0000000000000009E-2</v>
      </c>
    </row>
    <row r="63" spans="1:9">
      <c r="A63" s="278" t="s">
        <v>339</v>
      </c>
      <c r="B63" s="279">
        <f>INDEX(salerate!BP:BP, COUNTA(salerate!$BM:$BM))</f>
        <v>0.92</v>
      </c>
      <c r="C63" s="279">
        <f>INDEX(salerate!BH:BH, COUNTA(salerate!$BM:$BM))</f>
        <v>0.94</v>
      </c>
      <c r="D63" s="280">
        <f t="shared" si="12"/>
        <v>-1.9999999999999907E-2</v>
      </c>
    </row>
    <row r="64" spans="1:9">
      <c r="A64" s="278" t="s">
        <v>340</v>
      </c>
      <c r="B64" s="279">
        <f>INDEX(salerate!BQ:BQ, COUNTA(salerate!$BM:$BM))</f>
        <v>0.87</v>
      </c>
      <c r="C64" s="279">
        <f>INDEX(salerate!BI:BI, COUNTA(salerate!$BM:$BM))</f>
        <v>0.82</v>
      </c>
      <c r="D64" s="280">
        <f t="shared" si="12"/>
        <v>5.0000000000000044E-2</v>
      </c>
    </row>
    <row r="65" spans="1:4">
      <c r="A65" s="278" t="s">
        <v>341</v>
      </c>
      <c r="B65" s="279">
        <f>INDEX(salerate!BR:BR, COUNTA(salerate!$BM:$BM))</f>
        <v>0.73</v>
      </c>
      <c r="C65" s="279">
        <f>INDEX(salerate!BJ:BJ, COUNTA(salerate!$BM:$BM))</f>
        <v>0.62</v>
      </c>
      <c r="D65" s="280">
        <f t="shared" si="12"/>
        <v>0.10999999999999999</v>
      </c>
    </row>
    <row r="66" spans="1:4">
      <c r="A66" s="278" t="s">
        <v>342</v>
      </c>
      <c r="B66" s="279">
        <f>INDEX(salerate!BS:BS, COUNTA(salerate!$BM:$BM))</f>
        <v>0.78</v>
      </c>
      <c r="C66" s="279">
        <f>INDEX(salerate!BK:BK, COUNTA(salerate!$BM:$BM))</f>
        <v>0.73</v>
      </c>
      <c r="D66" s="280">
        <f t="shared" si="12"/>
        <v>5.0000000000000044E-2</v>
      </c>
    </row>
    <row r="67" spans="1:4">
      <c r="A67" s="278" t="s">
        <v>343</v>
      </c>
      <c r="B67" s="279">
        <f>INDEX(salerate!BT:BT, COUNTA(salerate!$BM:$BM))</f>
        <v>0.76</v>
      </c>
      <c r="C67" s="279">
        <f>INDEX(salerate!BL:BL, COUNTA(salerate!$BM:$BM))</f>
        <v>0.7</v>
      </c>
      <c r="D67" s="280">
        <f t="shared" si="12"/>
        <v>6.0000000000000053E-2</v>
      </c>
    </row>
    <row r="1572" spans="40:40">
      <c r="AN1572" s="180">
        <f>AR1573</f>
        <v>0</v>
      </c>
    </row>
  </sheetData>
  <mergeCells count="26"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U2:U6"/>
    <mergeCell ref="X2:X8"/>
    <mergeCell ref="X9:X12"/>
    <mergeCell ref="U10:U12"/>
    <mergeCell ref="U7:U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D19" sqref="D19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01" t="s">
        <v>359</v>
      </c>
      <c r="B1" s="301" t="s">
        <v>404</v>
      </c>
      <c r="C1" s="301" t="s">
        <v>383</v>
      </c>
      <c r="D1" s="301" t="s">
        <v>384</v>
      </c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</row>
    <row r="2" spans="1:32">
      <c r="A2" s="301">
        <v>1870</v>
      </c>
      <c r="B2" s="301">
        <v>1872</v>
      </c>
      <c r="C2" s="303">
        <f ca="1">TODAY()</f>
        <v>43579</v>
      </c>
      <c r="D2" s="303">
        <v>43470</v>
      </c>
      <c r="E2" s="201"/>
      <c r="F2" s="201"/>
      <c r="G2" s="201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</row>
    <row r="3" spans="1:32" ht="16.5">
      <c r="A3" s="570">
        <f ca="1">TODAY()</f>
        <v>43579</v>
      </c>
      <c r="B3" s="571"/>
      <c r="C3" s="572"/>
      <c r="D3" s="578" t="s">
        <v>387</v>
      </c>
      <c r="E3" s="579"/>
      <c r="F3" s="579"/>
      <c r="G3" s="580"/>
      <c r="H3" s="581" t="s">
        <v>113</v>
      </c>
      <c r="I3" s="582"/>
      <c r="J3" s="582"/>
      <c r="K3" s="582"/>
      <c r="L3" s="583"/>
      <c r="M3" s="584" t="s">
        <v>385</v>
      </c>
      <c r="N3" s="585"/>
      <c r="O3" s="586" t="s">
        <v>370</v>
      </c>
      <c r="P3" s="587"/>
      <c r="Q3" s="587"/>
      <c r="R3" s="587"/>
      <c r="S3" s="588"/>
      <c r="T3" s="586" t="s">
        <v>376</v>
      </c>
      <c r="U3" s="587"/>
      <c r="V3" s="587"/>
      <c r="W3" s="587"/>
      <c r="X3" s="587"/>
      <c r="Y3" s="588"/>
      <c r="Z3" s="573" t="s">
        <v>409</v>
      </c>
      <c r="AA3" s="574"/>
      <c r="AB3" s="575"/>
      <c r="AC3" s="576" t="s">
        <v>391</v>
      </c>
      <c r="AD3" s="577"/>
      <c r="AE3" s="577"/>
      <c r="AF3" s="577"/>
    </row>
    <row r="4" spans="1:32" ht="21">
      <c r="A4" s="291"/>
      <c r="B4" s="184" t="s">
        <v>365</v>
      </c>
      <c r="C4" s="184" t="s">
        <v>366</v>
      </c>
      <c r="D4" s="298" t="s">
        <v>130</v>
      </c>
      <c r="E4" s="298" t="s">
        <v>366</v>
      </c>
      <c r="F4" s="298" t="s">
        <v>399</v>
      </c>
      <c r="G4" s="298" t="s">
        <v>400</v>
      </c>
      <c r="H4" s="184" t="s">
        <v>367</v>
      </c>
      <c r="I4" s="184" t="s">
        <v>368</v>
      </c>
      <c r="J4" s="184" t="s">
        <v>369</v>
      </c>
      <c r="K4" s="293" t="s">
        <v>390</v>
      </c>
      <c r="L4" s="294" t="s">
        <v>359</v>
      </c>
      <c r="M4" s="298" t="s">
        <v>130</v>
      </c>
      <c r="N4" s="298" t="s">
        <v>386</v>
      </c>
      <c r="O4" s="184" t="s">
        <v>371</v>
      </c>
      <c r="P4" s="184" t="s">
        <v>372</v>
      </c>
      <c r="Q4" s="184" t="s">
        <v>373</v>
      </c>
      <c r="R4" s="184" t="s">
        <v>374</v>
      </c>
      <c r="S4" s="184" t="s">
        <v>375</v>
      </c>
      <c r="T4" s="184" t="s">
        <v>377</v>
      </c>
      <c r="U4" s="184" t="s">
        <v>378</v>
      </c>
      <c r="V4" s="184" t="s">
        <v>379</v>
      </c>
      <c r="W4" s="184" t="s">
        <v>380</v>
      </c>
      <c r="X4" s="184" t="s">
        <v>381</v>
      </c>
      <c r="Y4" s="184" t="s">
        <v>382</v>
      </c>
      <c r="Z4" s="296" t="s">
        <v>402</v>
      </c>
      <c r="AA4" s="304" t="s">
        <v>360</v>
      </c>
      <c r="AB4" s="305" t="s">
        <v>403</v>
      </c>
      <c r="AC4" s="307" t="s">
        <v>359</v>
      </c>
      <c r="AD4" s="307" t="s">
        <v>174</v>
      </c>
      <c r="AE4" s="136" t="s">
        <v>392</v>
      </c>
      <c r="AF4" s="136" t="s">
        <v>393</v>
      </c>
    </row>
    <row r="5" spans="1:32" ht="21">
      <c r="A5" s="292" t="s">
        <v>361</v>
      </c>
      <c r="B5" s="184">
        <v>1420</v>
      </c>
      <c r="C5" s="184">
        <v>1730</v>
      </c>
      <c r="D5" s="298" t="s">
        <v>388</v>
      </c>
      <c r="E5" s="298">
        <f>LOOKUP(2,1/(价格!20:20&lt;&gt;0),价格!20:20)</f>
        <v>2440</v>
      </c>
      <c r="F5" s="298" t="s">
        <v>401</v>
      </c>
      <c r="G5" s="298" t="str">
        <f>LOOKUP(2,1/(价格!$AH:$AH&lt;&gt;0),价格!$AH:$AH)</f>
        <v>停收</v>
      </c>
      <c r="H5" s="184">
        <f>10+12</f>
        <v>22</v>
      </c>
      <c r="I5" s="184">
        <v>150</v>
      </c>
      <c r="J5" s="184">
        <v>15</v>
      </c>
      <c r="K5" s="293">
        <f>C5+H5+I5+J5</f>
        <v>1917</v>
      </c>
      <c r="L5" s="294">
        <f>$A$2</f>
        <v>1870</v>
      </c>
      <c r="M5" s="298" t="s">
        <v>405</v>
      </c>
      <c r="N5" s="298">
        <f>LOOKUP(2,1/(价格!$AY:$AY&lt;&gt;0),价格!$AY:$AY)</f>
        <v>1850</v>
      </c>
      <c r="O5" s="184">
        <v>4</v>
      </c>
      <c r="P5" s="184">
        <v>5</v>
      </c>
      <c r="Q5" s="295">
        <f ca="1">C5*0.1*($D$2-$C$2)/365</f>
        <v>-51.663013698630138</v>
      </c>
      <c r="R5" s="295">
        <f ca="1">AA5*0.2*0.1*($D$2-$C$2)/365</f>
        <v>-11.180712328767125</v>
      </c>
      <c r="S5" s="295">
        <f ca="1">SUM(O5:R5)</f>
        <v>-53.843726027397267</v>
      </c>
      <c r="T5" s="184">
        <v>20</v>
      </c>
      <c r="U5" s="184">
        <v>5</v>
      </c>
      <c r="V5" s="184">
        <v>1</v>
      </c>
      <c r="W5" s="184">
        <v>1</v>
      </c>
      <c r="X5" s="184">
        <v>0.2</v>
      </c>
      <c r="Y5" s="184">
        <f>SUM(T5:X5)</f>
        <v>27.2</v>
      </c>
      <c r="Z5" s="297">
        <f ca="1">K5+S5+Y5</f>
        <v>1890.3562739726028</v>
      </c>
      <c r="AA5" s="304">
        <f>$B$2</f>
        <v>1872</v>
      </c>
      <c r="AB5" s="306">
        <f ca="1">AA5-Z5</f>
        <v>-18.356273972602821</v>
      </c>
      <c r="AC5" s="299"/>
      <c r="AD5" s="300"/>
      <c r="AE5" s="302"/>
      <c r="AF5" s="302"/>
    </row>
    <row r="6" spans="1:32" ht="21">
      <c r="A6" s="292" t="s">
        <v>362</v>
      </c>
      <c r="B6" s="184">
        <v>1476</v>
      </c>
      <c r="C6" s="184">
        <v>1810</v>
      </c>
      <c r="D6" s="298" t="s">
        <v>235</v>
      </c>
      <c r="E6" s="298">
        <f>LOOKUP(2,1/(价格!27:27&lt;&gt;0),价格!27:27)</f>
        <v>2440</v>
      </c>
      <c r="F6" s="298" t="s">
        <v>395</v>
      </c>
      <c r="G6" s="298">
        <f>LOOKUP(2,1/(价格!$X:$X&lt;&gt;0),价格!$X:$X)</f>
        <v>1630</v>
      </c>
      <c r="H6" s="184">
        <f>3.5+10+11</f>
        <v>24.5</v>
      </c>
      <c r="I6" s="184">
        <v>86</v>
      </c>
      <c r="J6" s="184">
        <v>15</v>
      </c>
      <c r="K6" s="293">
        <f>C6+H6+I6+J6</f>
        <v>1935.5</v>
      </c>
      <c r="L6" s="294">
        <f>$A$2</f>
        <v>1870</v>
      </c>
      <c r="M6" s="298" t="s">
        <v>406</v>
      </c>
      <c r="N6" s="298">
        <f>LOOKUP(2,1/(价格!$BC:$BC&lt;&gt;0),价格!$BC:$BC)</f>
        <v>1970</v>
      </c>
      <c r="O6" s="184">
        <v>4</v>
      </c>
      <c r="P6" s="184">
        <v>5</v>
      </c>
      <c r="Q6" s="295">
        <f ca="1">C6*0.1*($D$2-$C$2)/365</f>
        <v>-54.052054794520551</v>
      </c>
      <c r="R6" s="295">
        <f ca="1">AA6*0.2*0.1*($D$2-$C$2)/365</f>
        <v>-11.180712328767125</v>
      </c>
      <c r="S6" s="295">
        <f ca="1">SUM(O6:R6)</f>
        <v>-56.232767123287672</v>
      </c>
      <c r="T6" s="184">
        <v>20</v>
      </c>
      <c r="U6" s="184">
        <v>5</v>
      </c>
      <c r="V6" s="184">
        <v>1</v>
      </c>
      <c r="W6" s="184">
        <v>1</v>
      </c>
      <c r="X6" s="184">
        <v>0.2</v>
      </c>
      <c r="Y6" s="184">
        <f>SUM(T6:X6)</f>
        <v>27.2</v>
      </c>
      <c r="Z6" s="297">
        <f ca="1">K6+S6+Y6</f>
        <v>1906.4672328767124</v>
      </c>
      <c r="AA6" s="304">
        <f>$B$2</f>
        <v>1872</v>
      </c>
      <c r="AB6" s="306">
        <f ca="1">AA6-Z6</f>
        <v>-34.467232876712387</v>
      </c>
      <c r="AC6" s="299"/>
      <c r="AD6" s="300"/>
      <c r="AE6" s="302"/>
      <c r="AF6" s="302"/>
    </row>
    <row r="7" spans="1:32" ht="21">
      <c r="A7" s="292" t="s">
        <v>363</v>
      </c>
      <c r="B7" s="184">
        <v>446</v>
      </c>
      <c r="C7" s="184">
        <v>1811</v>
      </c>
      <c r="D7" s="298" t="s">
        <v>118</v>
      </c>
      <c r="E7" s="298">
        <f>LOOKUP(2,1/(价格!$AB:$AB&lt;&gt;0),价格!$AB:$AB)</f>
        <v>1700</v>
      </c>
      <c r="F7" s="298" t="s">
        <v>396</v>
      </c>
      <c r="G7" s="298" t="str">
        <f>LOOKUP(2,1/(价格!$AE:$AE&lt;&gt;0),价格!$AE:$AE)</f>
        <v>停收</v>
      </c>
      <c r="H7" s="184">
        <f>20+10+50</f>
        <v>80</v>
      </c>
      <c r="I7" s="184">
        <v>133</v>
      </c>
      <c r="J7" s="184">
        <v>15</v>
      </c>
      <c r="K7" s="293">
        <f>C7+H7+I7+J7</f>
        <v>2039</v>
      </c>
      <c r="L7" s="294">
        <f>$A$2</f>
        <v>1870</v>
      </c>
      <c r="M7" s="298" t="s">
        <v>407</v>
      </c>
      <c r="N7" s="298"/>
      <c r="O7" s="184">
        <v>4</v>
      </c>
      <c r="P7" s="184">
        <v>5</v>
      </c>
      <c r="Q7" s="295">
        <f ca="1">C7*0.1*($D$2-$C$2)/365</f>
        <v>-54.081917808219181</v>
      </c>
      <c r="R7" s="295">
        <f ca="1">AA7*0.2*0.1*($D$2-$C$2)/365</f>
        <v>-11.180712328767125</v>
      </c>
      <c r="S7" s="295">
        <f ca="1">SUM(O7:R7)</f>
        <v>-56.262630136986303</v>
      </c>
      <c r="T7" s="184">
        <v>20</v>
      </c>
      <c r="U7" s="184">
        <v>5</v>
      </c>
      <c r="V7" s="184">
        <v>1</v>
      </c>
      <c r="W7" s="184">
        <v>1</v>
      </c>
      <c r="X7" s="184">
        <v>0.2</v>
      </c>
      <c r="Y7" s="184">
        <f>SUM(T7:X7)</f>
        <v>27.2</v>
      </c>
      <c r="Z7" s="297">
        <f ca="1">K7+S7+Y7</f>
        <v>2009.9373698630138</v>
      </c>
      <c r="AA7" s="304">
        <f>$B$2</f>
        <v>1872</v>
      </c>
      <c r="AB7" s="306">
        <f ca="1">AA7-Z7</f>
        <v>-137.93736986301383</v>
      </c>
      <c r="AC7" s="299"/>
      <c r="AD7" s="300"/>
      <c r="AE7" s="302"/>
      <c r="AF7" s="302"/>
    </row>
    <row r="8" spans="1:32" ht="21">
      <c r="A8" s="292" t="s">
        <v>364</v>
      </c>
      <c r="B8" s="184">
        <v>1410</v>
      </c>
      <c r="C8" s="184">
        <v>1769</v>
      </c>
      <c r="D8" s="298"/>
      <c r="E8" s="298"/>
      <c r="F8" s="298" t="s">
        <v>397</v>
      </c>
      <c r="G8" s="298">
        <f>LOOKUP(2,1/(价格!$AW:$AW&lt;&gt;0),价格!$AW:$AW)</f>
        <v>1730</v>
      </c>
      <c r="H8" s="184">
        <f>50+6+15+8.4</f>
        <v>79.400000000000006</v>
      </c>
      <c r="I8" s="184">
        <v>85</v>
      </c>
      <c r="J8" s="184">
        <v>15</v>
      </c>
      <c r="K8" s="293">
        <f>C8+H8+I8+J8</f>
        <v>1948.4</v>
      </c>
      <c r="L8" s="294">
        <f>$A$2</f>
        <v>1870</v>
      </c>
      <c r="M8" s="298" t="s">
        <v>239</v>
      </c>
      <c r="N8" s="298">
        <f>LOOKUP(2,1/(价格!$BD:$BD&lt;&gt;0),价格!$BD:$BD)</f>
        <v>1970</v>
      </c>
      <c r="O8" s="184">
        <v>4</v>
      </c>
      <c r="P8" s="184">
        <v>5</v>
      </c>
      <c r="Q8" s="295">
        <f ca="1">C8*0.1*($D$2-$C$2)/365</f>
        <v>-52.827671232876718</v>
      </c>
      <c r="R8" s="295">
        <f ca="1">AA8*0.2*0.1*($D$2-$C$2)/365</f>
        <v>-11.180712328767125</v>
      </c>
      <c r="S8" s="295">
        <f ca="1">SUM(O8:R8)</f>
        <v>-55.008383561643839</v>
      </c>
      <c r="T8" s="184">
        <v>20</v>
      </c>
      <c r="U8" s="184">
        <v>5</v>
      </c>
      <c r="V8" s="184">
        <v>1</v>
      </c>
      <c r="W8" s="184">
        <v>1</v>
      </c>
      <c r="X8" s="184">
        <v>0.2</v>
      </c>
      <c r="Y8" s="184">
        <f>SUM(T8:X8)</f>
        <v>27.2</v>
      </c>
      <c r="Z8" s="297">
        <f ca="1">K8+S8+Y8</f>
        <v>1920.5916164383564</v>
      </c>
      <c r="AA8" s="304">
        <f>$B$2</f>
        <v>1872</v>
      </c>
      <c r="AB8" s="306">
        <f ca="1">AA8-Z8</f>
        <v>-48.591616438356368</v>
      </c>
      <c r="AC8" s="299"/>
      <c r="AD8" s="300"/>
      <c r="AE8" s="302"/>
      <c r="AF8" s="302"/>
    </row>
    <row r="9" spans="1:32" ht="21">
      <c r="A9" s="292" t="s">
        <v>389</v>
      </c>
      <c r="B9" s="184">
        <v>1474</v>
      </c>
      <c r="C9" s="184">
        <v>1811</v>
      </c>
      <c r="D9" s="298" t="s">
        <v>126</v>
      </c>
      <c r="E9" s="298">
        <f>LOOKUP(2,1/(价格!$AK:$AK&lt;&gt;0),价格!$AK:$AK)</f>
        <v>1690</v>
      </c>
      <c r="F9" s="298" t="s">
        <v>398</v>
      </c>
      <c r="G9" s="298">
        <f>LOOKUP(2,1/(价格!$AT:$AT&lt;&gt;0),价格!$AT:$AT)</f>
        <v>1720</v>
      </c>
      <c r="H9" s="184">
        <f>3+20+8.4+50</f>
        <v>81.400000000000006</v>
      </c>
      <c r="I9" s="184">
        <v>75</v>
      </c>
      <c r="J9" s="184">
        <v>15</v>
      </c>
      <c r="K9" s="293">
        <f>C9+H9+I9+J9</f>
        <v>1982.4</v>
      </c>
      <c r="L9" s="294">
        <f>$A$2</f>
        <v>1870</v>
      </c>
      <c r="M9" s="298" t="s">
        <v>408</v>
      </c>
      <c r="N9" s="298">
        <f>LOOKUP(2,1/(价格!$BE:$BE&lt;&gt;0),价格!$BE:$BE)</f>
        <v>1940</v>
      </c>
      <c r="O9" s="184">
        <v>4</v>
      </c>
      <c r="P9" s="184">
        <v>5</v>
      </c>
      <c r="Q9" s="295">
        <f ca="1">C9*0.1*($D$2-$C$2)/365</f>
        <v>-54.081917808219181</v>
      </c>
      <c r="R9" s="295">
        <f ca="1">AA9*0.2*0.1*($D$2-$C$2)/365</f>
        <v>-11.180712328767125</v>
      </c>
      <c r="S9" s="295">
        <f ca="1">SUM(O9:R9)</f>
        <v>-56.262630136986303</v>
      </c>
      <c r="T9" s="184">
        <v>20</v>
      </c>
      <c r="U9" s="184">
        <v>5</v>
      </c>
      <c r="V9" s="184">
        <v>1</v>
      </c>
      <c r="W9" s="184">
        <v>1</v>
      </c>
      <c r="X9" s="184">
        <v>0.2</v>
      </c>
      <c r="Y9" s="184">
        <f>SUM(T9:X9)</f>
        <v>27.2</v>
      </c>
      <c r="Z9" s="297">
        <f ca="1">K9+S9+Y9</f>
        <v>1953.3373698630139</v>
      </c>
      <c r="AA9" s="304">
        <f>$B$2</f>
        <v>1872</v>
      </c>
      <c r="AB9" s="306">
        <f ca="1">AA9-Z9</f>
        <v>-81.337369863013919</v>
      </c>
      <c r="AC9" s="299"/>
      <c r="AD9" s="300"/>
      <c r="AE9" s="302"/>
      <c r="AF9" s="302"/>
    </row>
    <row r="15" spans="1:32">
      <c r="A15" s="201">
        <f ca="1">A3</f>
        <v>43579</v>
      </c>
      <c r="B15" s="308">
        <f t="shared" ref="B15:G15" si="0">B3</f>
        <v>0</v>
      </c>
      <c r="C15" s="308">
        <f t="shared" si="0"/>
        <v>0</v>
      </c>
      <c r="D15" s="308" t="str">
        <f t="shared" si="0"/>
        <v>东北深加工</v>
      </c>
      <c r="E15" s="308">
        <f t="shared" si="0"/>
        <v>0</v>
      </c>
      <c r="F15" s="308">
        <f t="shared" si="0"/>
        <v>0</v>
      </c>
      <c r="G15" s="308">
        <f t="shared" si="0"/>
        <v>0</v>
      </c>
      <c r="H15" s="308" t="str">
        <f>H3</f>
        <v>到港成本</v>
      </c>
    </row>
    <row r="16" spans="1:32">
      <c r="A16" s="308">
        <f t="shared" ref="A16:G20" si="1">A4</f>
        <v>0</v>
      </c>
      <c r="B16" s="308" t="str">
        <f t="shared" si="1"/>
        <v>潮粮价</v>
      </c>
      <c r="C16" s="308" t="str">
        <f t="shared" si="1"/>
        <v>干粮价</v>
      </c>
      <c r="D16" s="308" t="str">
        <f t="shared" si="1"/>
        <v>企业</v>
      </c>
      <c r="E16" s="308" t="str">
        <f t="shared" si="1"/>
        <v>干粮价</v>
      </c>
      <c r="F16" s="308" t="str">
        <f t="shared" si="1"/>
        <v>企业</v>
      </c>
      <c r="G16" s="308" t="str">
        <f t="shared" si="1"/>
        <v>干粮价</v>
      </c>
      <c r="H16" s="308" t="str">
        <f>K4</f>
        <v>我司到港成本</v>
      </c>
      <c r="I16" s="308" t="str">
        <f>L4</f>
        <v>港口价格</v>
      </c>
    </row>
    <row r="17" spans="1:9">
      <c r="A17" s="308" t="str">
        <f t="shared" si="1"/>
        <v>克山天跃</v>
      </c>
      <c r="B17" s="308">
        <f t="shared" si="1"/>
        <v>1420</v>
      </c>
      <c r="C17" s="308">
        <f t="shared" si="1"/>
        <v>1730</v>
      </c>
      <c r="D17" s="308" t="str">
        <f t="shared" si="1"/>
        <v>依安鹏程</v>
      </c>
      <c r="E17" s="308">
        <f t="shared" si="1"/>
        <v>2440</v>
      </c>
      <c r="F17" s="308" t="str">
        <f t="shared" si="1"/>
        <v>富锦象屿</v>
      </c>
      <c r="G17" s="308" t="str">
        <f t="shared" si="1"/>
        <v>停收</v>
      </c>
      <c r="H17" s="308">
        <f t="shared" ref="H17:H21" si="2">K5</f>
        <v>1917</v>
      </c>
      <c r="I17" s="308">
        <f t="shared" ref="I17:I21" si="3">L5</f>
        <v>1870</v>
      </c>
    </row>
    <row r="18" spans="1:9">
      <c r="A18" s="308" t="str">
        <f t="shared" si="1"/>
        <v>镇赉益健</v>
      </c>
      <c r="B18" s="308">
        <f t="shared" si="1"/>
        <v>1476</v>
      </c>
      <c r="C18" s="308">
        <f t="shared" si="1"/>
        <v>1810</v>
      </c>
      <c r="D18" s="308" t="str">
        <f t="shared" si="1"/>
        <v>中粮龙江</v>
      </c>
      <c r="E18" s="308">
        <f t="shared" si="1"/>
        <v>2440</v>
      </c>
      <c r="F18" s="308" t="str">
        <f t="shared" si="1"/>
        <v>中粮肇东</v>
      </c>
      <c r="G18" s="308">
        <f t="shared" si="1"/>
        <v>1630</v>
      </c>
      <c r="H18" s="308">
        <f t="shared" si="2"/>
        <v>1935.5</v>
      </c>
      <c r="I18" s="308">
        <f t="shared" si="3"/>
        <v>1870</v>
      </c>
    </row>
    <row r="19" spans="1:9">
      <c r="A19" s="308" t="str">
        <f t="shared" si="1"/>
        <v>安达亿鼎</v>
      </c>
      <c r="B19" s="308">
        <f t="shared" si="1"/>
        <v>446</v>
      </c>
      <c r="C19" s="308">
        <f t="shared" si="1"/>
        <v>1811</v>
      </c>
      <c r="D19" s="308" t="str">
        <f t="shared" si="1"/>
        <v>青冈龙凤</v>
      </c>
      <c r="E19" s="308">
        <f t="shared" si="1"/>
        <v>1700</v>
      </c>
      <c r="F19" s="308" t="str">
        <f t="shared" si="1"/>
        <v>北安象屿</v>
      </c>
      <c r="G19" s="308" t="str">
        <f t="shared" si="1"/>
        <v>停收</v>
      </c>
      <c r="H19" s="308">
        <f t="shared" si="2"/>
        <v>2039</v>
      </c>
      <c r="I19" s="308">
        <f t="shared" si="3"/>
        <v>1870</v>
      </c>
    </row>
    <row r="20" spans="1:9">
      <c r="A20" s="308" t="str">
        <f t="shared" si="1"/>
        <v>兴安盟稷丰</v>
      </c>
      <c r="B20" s="308">
        <f t="shared" si="1"/>
        <v>1410</v>
      </c>
      <c r="C20" s="308">
        <f t="shared" si="1"/>
        <v>1769</v>
      </c>
      <c r="D20" s="308">
        <f t="shared" si="1"/>
        <v>0</v>
      </c>
      <c r="E20" s="308">
        <f t="shared" si="1"/>
        <v>0</v>
      </c>
      <c r="F20" s="308" t="str">
        <f t="shared" si="1"/>
        <v>通辽梅花</v>
      </c>
      <c r="G20" s="308">
        <f t="shared" si="1"/>
        <v>1730</v>
      </c>
      <c r="H20" s="308">
        <f t="shared" si="2"/>
        <v>1948.4</v>
      </c>
      <c r="I20" s="308">
        <f t="shared" si="3"/>
        <v>1870</v>
      </c>
    </row>
    <row r="21" spans="1:9">
      <c r="A21" s="308" t="str">
        <f>A9</f>
        <v>大安洵佶</v>
      </c>
      <c r="B21" s="308">
        <f t="shared" ref="B21:G21" si="4">B9</f>
        <v>1474</v>
      </c>
      <c r="C21" s="308">
        <f t="shared" si="4"/>
        <v>1811</v>
      </c>
      <c r="D21" s="308" t="str">
        <f t="shared" si="4"/>
        <v>松原嘉吉</v>
      </c>
      <c r="E21" s="308">
        <f t="shared" si="4"/>
        <v>1690</v>
      </c>
      <c r="F21" s="308" t="str">
        <f t="shared" si="4"/>
        <v>开原益海</v>
      </c>
      <c r="G21" s="308">
        <f t="shared" si="4"/>
        <v>1720</v>
      </c>
      <c r="H21" s="308">
        <f t="shared" si="2"/>
        <v>1982.4</v>
      </c>
      <c r="I21" s="308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3.5"/>
  <cols>
    <col min="1" max="1" width="11.375" style="489" bestFit="1" customWidth="1"/>
    <col min="2" max="3" width="18.375" style="490" bestFit="1" customWidth="1"/>
    <col min="4" max="5" width="22.5" style="490" bestFit="1" customWidth="1"/>
  </cols>
  <sheetData>
    <row r="1" spans="1:5" s="488" customFormat="1">
      <c r="A1" s="489"/>
      <c r="B1" s="490" t="s">
        <v>453</v>
      </c>
      <c r="C1" s="490" t="s">
        <v>454</v>
      </c>
      <c r="D1" s="490" t="s">
        <v>455</v>
      </c>
      <c r="E1" s="490" t="s">
        <v>456</v>
      </c>
    </row>
    <row r="2" spans="1:5">
      <c r="A2" s="489">
        <v>42887</v>
      </c>
      <c r="B2" s="199">
        <v>-2E-3</v>
      </c>
      <c r="C2" s="490">
        <v>-3.2000000000000001E-2</v>
      </c>
      <c r="D2" s="490">
        <v>-5.0000000000000001E-3</v>
      </c>
      <c r="E2" s="490">
        <v>-2.4E-2</v>
      </c>
    </row>
    <row r="3" spans="1:5">
      <c r="A3" s="489">
        <v>42917</v>
      </c>
      <c r="B3" s="490">
        <v>-7.0000000000000001E-3</v>
      </c>
      <c r="C3" s="490">
        <v>-4.8000000000000001E-2</v>
      </c>
      <c r="D3" s="490">
        <v>-8.9999999999999993E-3</v>
      </c>
      <c r="E3" s="490">
        <v>-4.2000000000000003E-2</v>
      </c>
    </row>
    <row r="4" spans="1:5">
      <c r="A4" s="489">
        <v>42948</v>
      </c>
      <c r="B4" s="490">
        <v>-5.0000000000000001E-3</v>
      </c>
      <c r="C4" s="490">
        <v>-5.6000000000000001E-2</v>
      </c>
      <c r="D4" s="490">
        <v>-8.9999999999999993E-3</v>
      </c>
      <c r="E4" s="490">
        <v>-4.7E-2</v>
      </c>
    </row>
    <row r="5" spans="1:5">
      <c r="A5" s="489">
        <v>42979</v>
      </c>
      <c r="B5" s="490">
        <v>-2E-3</v>
      </c>
      <c r="C5" s="490">
        <v>-6.0999999999999999E-2</v>
      </c>
      <c r="D5" s="490">
        <v>-7.0000000000000001E-3</v>
      </c>
      <c r="E5" s="490">
        <v>-0.05</v>
      </c>
    </row>
    <row r="6" spans="1:5">
      <c r="A6" s="489">
        <v>43009</v>
      </c>
      <c r="B6" s="490">
        <v>-2E-3</v>
      </c>
      <c r="C6" s="490">
        <v>-6.6000000000000003E-2</v>
      </c>
      <c r="D6" s="490">
        <v>-3.0000000000000001E-3</v>
      </c>
      <c r="E6" s="490">
        <v>-5.2999999999999999E-2</v>
      </c>
    </row>
    <row r="7" spans="1:5">
      <c r="A7" s="489">
        <v>43040</v>
      </c>
    </row>
    <row r="8" spans="1:5">
      <c r="A8" s="489">
        <v>43070</v>
      </c>
      <c r="B8" s="490">
        <v>-2.1000000000000001E-2</v>
      </c>
      <c r="C8" s="490">
        <v>-6.8000000000000005E-2</v>
      </c>
      <c r="D8" s="490">
        <v>-1.2E-2</v>
      </c>
      <c r="E8" s="490">
        <v>-6.4000000000000001E-2</v>
      </c>
    </row>
    <row r="9" spans="1:5">
      <c r="A9" s="489">
        <v>43101</v>
      </c>
      <c r="C9" s="490">
        <v>-1E-3</v>
      </c>
      <c r="E9" s="490">
        <v>-1.2E-2</v>
      </c>
    </row>
    <row r="10" spans="1:5">
      <c r="A10" s="489">
        <v>43132</v>
      </c>
      <c r="B10" s="490">
        <v>-8.9999999999999993E-3</v>
      </c>
      <c r="C10" s="490">
        <v>-8.0000000000000002E-3</v>
      </c>
      <c r="D10" s="490">
        <v>0</v>
      </c>
      <c r="E10" s="490">
        <v>-8.0000000000000002E-3</v>
      </c>
    </row>
    <row r="11" spans="1:5">
      <c r="A11" s="489">
        <v>43160</v>
      </c>
      <c r="B11" s="490">
        <v>1.4E-2</v>
      </c>
      <c r="C11" s="490">
        <v>-3.0000000000000001E-3</v>
      </c>
      <c r="D11" s="490">
        <v>1E-3</v>
      </c>
      <c r="E11" s="490">
        <v>-8.0000000000000002E-3</v>
      </c>
    </row>
    <row r="12" spans="1:5">
      <c r="A12" s="489">
        <v>43191</v>
      </c>
      <c r="B12" s="490">
        <v>-8.0000000000000002E-3</v>
      </c>
      <c r="C12" s="490">
        <v>-1.4999999999999999E-2</v>
      </c>
      <c r="D12" s="490">
        <v>-1.4E-2</v>
      </c>
      <c r="E12" s="490">
        <v>-2.1000000000000001E-2</v>
      </c>
    </row>
    <row r="13" spans="1:5">
      <c r="A13" s="489">
        <v>43221</v>
      </c>
      <c r="B13" s="490">
        <v>-1.9E-2</v>
      </c>
      <c r="C13" s="490">
        <v>-0.02</v>
      </c>
      <c r="D13" s="490">
        <v>-2.5000000000000001E-2</v>
      </c>
      <c r="E13" s="490">
        <v>-3.9E-2</v>
      </c>
    </row>
    <row r="14" spans="1:5">
      <c r="A14" s="489">
        <v>43252</v>
      </c>
      <c r="B14" s="490">
        <v>-1.2E-2</v>
      </c>
      <c r="C14" s="490">
        <v>-1.7999999999999999E-2</v>
      </c>
      <c r="D14" s="490">
        <v>-1.2999999999999999E-2</v>
      </c>
      <c r="E14" s="490">
        <v>-2.9000000000000001E-2</v>
      </c>
    </row>
    <row r="15" spans="1:5">
      <c r="A15" s="489">
        <v>43282</v>
      </c>
      <c r="B15" s="490">
        <v>-8.0000000000000002E-3</v>
      </c>
      <c r="C15" s="490">
        <v>-0.02</v>
      </c>
      <c r="D15" s="490">
        <v>-1.9E-2</v>
      </c>
      <c r="E15" s="490">
        <v>-0.04</v>
      </c>
    </row>
    <row r="16" spans="1:5">
      <c r="A16" s="489">
        <v>43313</v>
      </c>
      <c r="B16" s="490">
        <v>-3.0000000000000001E-3</v>
      </c>
      <c r="C16" s="490">
        <v>-2.4E-2</v>
      </c>
      <c r="D16" s="490">
        <v>-1.0999999999999999E-2</v>
      </c>
      <c r="E16" s="490">
        <v>-4.8000000000000001E-2</v>
      </c>
    </row>
    <row r="17" spans="1:5">
      <c r="A17" s="489">
        <v>43344</v>
      </c>
      <c r="B17" s="490">
        <v>8.0000000000000002E-3</v>
      </c>
      <c r="C17" s="490">
        <v>-1.7999999999999999E-2</v>
      </c>
      <c r="D17" s="490">
        <v>-3.0000000000000001E-3</v>
      </c>
      <c r="E17" s="490">
        <v>-4.8000000000000001E-2</v>
      </c>
    </row>
    <row r="18" spans="1:5">
      <c r="A18" s="489">
        <v>43374</v>
      </c>
      <c r="B18" s="490">
        <v>1E-3</v>
      </c>
      <c r="C18" s="490">
        <v>-1.7999999999999999E-2</v>
      </c>
      <c r="D18" s="490">
        <v>-1.2E-2</v>
      </c>
      <c r="E18" s="490">
        <v>-5.8999999999999997E-2</v>
      </c>
    </row>
    <row r="19" spans="1:5">
      <c r="A19" s="489">
        <v>43405</v>
      </c>
      <c r="B19" s="490">
        <v>-7.0000000000000001E-3</v>
      </c>
      <c r="C19" s="490">
        <v>-2.9000000000000001E-2</v>
      </c>
      <c r="D19" s="490">
        <v>-1.2999999999999999E-2</v>
      </c>
      <c r="E19" s="490">
        <v>-6.9000000000000006E-2</v>
      </c>
    </row>
    <row r="20" spans="1:5">
      <c r="A20" s="489">
        <v>43435</v>
      </c>
      <c r="B20" s="490">
        <v>-3.6999999999999998E-2</v>
      </c>
      <c r="C20" s="490">
        <v>-4.8000000000000001E-2</v>
      </c>
      <c r="D20" s="490">
        <v>-2.3E-2</v>
      </c>
      <c r="E20" s="490">
        <v>-8.3000000000000004E-2</v>
      </c>
    </row>
    <row r="21" spans="1:5">
      <c r="A21" s="489">
        <v>43466</v>
      </c>
      <c r="B21" s="490">
        <v>-5.7000000000000002E-2</v>
      </c>
      <c r="C21" s="490">
        <v>-0.12620000000000001</v>
      </c>
      <c r="D21" s="490">
        <v>-3.56E-2</v>
      </c>
      <c r="E21" s="490">
        <v>-0.14749999999999999</v>
      </c>
    </row>
    <row r="22" spans="1:5">
      <c r="A22" s="489">
        <v>43497</v>
      </c>
      <c r="B22" s="490">
        <v>-5.3999999999999999E-2</v>
      </c>
      <c r="C22" s="490">
        <v>-0.16600000000000001</v>
      </c>
      <c r="D22" s="490">
        <v>-0.05</v>
      </c>
      <c r="E22" s="490">
        <v>-0.191</v>
      </c>
    </row>
    <row r="23" spans="1:5">
      <c r="A23" s="489">
        <v>43525</v>
      </c>
      <c r="B23" s="490">
        <v>-1.2E-2</v>
      </c>
      <c r="C23" s="490">
        <v>-0.188</v>
      </c>
      <c r="D23" s="490">
        <v>-2.3E-2</v>
      </c>
      <c r="E23" s="490">
        <v>-0.21</v>
      </c>
    </row>
    <row r="24" spans="1:5">
      <c r="A24" s="489">
        <v>43556</v>
      </c>
    </row>
    <row r="25" spans="1:5">
      <c r="A25" s="489">
        <v>43586</v>
      </c>
    </row>
    <row r="26" spans="1:5">
      <c r="A26" s="489">
        <v>43617</v>
      </c>
    </row>
    <row r="27" spans="1:5">
      <c r="A27" s="489">
        <v>43647</v>
      </c>
    </row>
    <row r="28" spans="1:5">
      <c r="A28" s="489">
        <v>43678</v>
      </c>
    </row>
    <row r="29" spans="1:5">
      <c r="A29" s="489">
        <v>43709</v>
      </c>
    </row>
    <row r="30" spans="1:5">
      <c r="A30" s="489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4"/>
  <sheetViews>
    <sheetView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E88" sqref="E88"/>
    </sheetView>
  </sheetViews>
  <sheetFormatPr defaultRowHeight="13.5"/>
  <cols>
    <col min="1" max="1" width="11.625" bestFit="1" customWidth="1"/>
    <col min="3" max="3" width="11.125" style="557" customWidth="1"/>
    <col min="4" max="4" width="9" style="557"/>
    <col min="5" max="5" width="17.75" customWidth="1"/>
  </cols>
  <sheetData>
    <row r="1" spans="1:5">
      <c r="B1" t="s">
        <v>457</v>
      </c>
      <c r="C1" s="557" t="s">
        <v>513</v>
      </c>
      <c r="D1" s="557" t="s">
        <v>514</v>
      </c>
      <c r="E1" t="s">
        <v>458</v>
      </c>
    </row>
    <row r="2" spans="1:5">
      <c r="A2" s="201">
        <v>42963</v>
      </c>
      <c r="B2">
        <v>34.909999999999997</v>
      </c>
    </row>
    <row r="3" spans="1:5">
      <c r="A3" s="201">
        <v>42970</v>
      </c>
      <c r="B3">
        <v>34.78</v>
      </c>
      <c r="E3" s="500"/>
    </row>
    <row r="4" spans="1:5">
      <c r="A4" s="201">
        <v>42977</v>
      </c>
      <c r="B4">
        <v>34.76</v>
      </c>
      <c r="E4" s="500"/>
    </row>
    <row r="5" spans="1:5">
      <c r="A5" s="201">
        <v>42984</v>
      </c>
      <c r="B5">
        <v>34.68</v>
      </c>
      <c r="E5" s="500"/>
    </row>
    <row r="6" spans="1:5">
      <c r="A6" s="201">
        <v>42991</v>
      </c>
      <c r="B6">
        <v>34.450000000000003</v>
      </c>
      <c r="E6" s="500"/>
    </row>
    <row r="7" spans="1:5">
      <c r="A7" s="201">
        <v>42998</v>
      </c>
      <c r="B7">
        <v>34.11</v>
      </c>
      <c r="E7" s="500"/>
    </row>
    <row r="8" spans="1:5">
      <c r="A8" s="201">
        <v>43005</v>
      </c>
      <c r="B8">
        <v>33.729999999999997</v>
      </c>
      <c r="E8" s="500"/>
    </row>
    <row r="9" spans="1:5">
      <c r="A9" s="201">
        <v>43017</v>
      </c>
      <c r="B9">
        <v>33.299999999999997</v>
      </c>
      <c r="E9" s="500"/>
    </row>
    <row r="10" spans="1:5">
      <c r="A10" s="201">
        <v>43019</v>
      </c>
      <c r="B10">
        <v>33.01</v>
      </c>
      <c r="E10" s="500"/>
    </row>
    <row r="11" spans="1:5">
      <c r="A11" s="201">
        <v>43026</v>
      </c>
      <c r="B11">
        <v>32.47</v>
      </c>
      <c r="E11" s="500"/>
    </row>
    <row r="12" spans="1:5">
      <c r="A12" s="201">
        <v>43033</v>
      </c>
      <c r="B12">
        <v>32.03</v>
      </c>
      <c r="E12" s="500"/>
    </row>
    <row r="13" spans="1:5">
      <c r="A13" s="201">
        <v>43040</v>
      </c>
      <c r="B13">
        <v>31.55</v>
      </c>
      <c r="E13" s="500"/>
    </row>
    <row r="14" spans="1:5">
      <c r="A14" s="201">
        <v>43047</v>
      </c>
      <c r="B14">
        <v>31.13</v>
      </c>
      <c r="E14" s="500"/>
    </row>
    <row r="15" spans="1:5">
      <c r="A15" s="201">
        <v>43054</v>
      </c>
      <c r="B15">
        <v>30.55</v>
      </c>
      <c r="E15" s="500"/>
    </row>
    <row r="16" spans="1:5">
      <c r="A16" s="201">
        <v>43061</v>
      </c>
      <c r="B16">
        <v>30.58</v>
      </c>
      <c r="E16" s="500"/>
    </row>
    <row r="17" spans="1:5">
      <c r="A17" s="201">
        <v>43096</v>
      </c>
      <c r="B17">
        <v>30.55</v>
      </c>
      <c r="E17" s="500"/>
    </row>
    <row r="18" spans="1:5">
      <c r="A18" s="201">
        <v>43103</v>
      </c>
      <c r="B18">
        <v>30.54</v>
      </c>
      <c r="E18" s="500"/>
    </row>
    <row r="19" spans="1:5">
      <c r="A19" s="201">
        <v>43110</v>
      </c>
      <c r="B19">
        <v>30.6</v>
      </c>
      <c r="E19" s="500"/>
    </row>
    <row r="20" spans="1:5">
      <c r="A20" s="201">
        <v>43117</v>
      </c>
      <c r="E20" s="500"/>
    </row>
    <row r="21" spans="1:5">
      <c r="A21" s="201">
        <v>43124</v>
      </c>
      <c r="B21">
        <v>30.7</v>
      </c>
      <c r="E21" s="500"/>
    </row>
    <row r="22" spans="1:5">
      <c r="A22" s="201">
        <v>43131</v>
      </c>
      <c r="B22">
        <v>30.56</v>
      </c>
      <c r="C22" s="557">
        <v>19.68</v>
      </c>
      <c r="D22" s="557">
        <v>84.13</v>
      </c>
      <c r="E22" s="500"/>
    </row>
    <row r="23" spans="1:5">
      <c r="A23" s="201">
        <v>43138</v>
      </c>
      <c r="B23">
        <v>30.22</v>
      </c>
      <c r="C23" s="557">
        <v>18.690000000000001</v>
      </c>
      <c r="D23" s="557">
        <v>84.13</v>
      </c>
      <c r="E23" s="500"/>
    </row>
    <row r="24" spans="1:5">
      <c r="A24" s="201">
        <v>43145</v>
      </c>
      <c r="E24" s="500"/>
    </row>
    <row r="25" spans="1:5">
      <c r="A25" s="201">
        <v>43152</v>
      </c>
      <c r="B25">
        <v>29.87</v>
      </c>
      <c r="C25" s="557">
        <v>18.170000000000002</v>
      </c>
      <c r="E25" s="500"/>
    </row>
    <row r="26" spans="1:5">
      <c r="A26" s="201">
        <v>43159</v>
      </c>
      <c r="B26">
        <v>29.27</v>
      </c>
      <c r="C26" s="557">
        <v>15.63</v>
      </c>
      <c r="D26" s="557">
        <v>83.43</v>
      </c>
      <c r="E26" s="500"/>
    </row>
    <row r="27" spans="1:5">
      <c r="A27" s="201">
        <v>43166</v>
      </c>
      <c r="C27" s="557">
        <v>15.23</v>
      </c>
      <c r="D27" s="557">
        <v>83.56</v>
      </c>
      <c r="E27" s="500"/>
    </row>
    <row r="28" spans="1:5">
      <c r="A28" s="201">
        <v>43173</v>
      </c>
      <c r="B28">
        <v>28</v>
      </c>
      <c r="C28" s="557">
        <v>14.9</v>
      </c>
      <c r="D28" s="557">
        <v>83.72</v>
      </c>
      <c r="E28" s="500"/>
    </row>
    <row r="29" spans="1:5">
      <c r="A29" s="201">
        <v>43180</v>
      </c>
      <c r="B29">
        <v>27.32</v>
      </c>
      <c r="C29" s="557">
        <v>14.09</v>
      </c>
      <c r="D29" s="557">
        <v>83.93</v>
      </c>
      <c r="E29" s="500"/>
    </row>
    <row r="30" spans="1:5">
      <c r="A30" s="201">
        <v>43187</v>
      </c>
      <c r="B30">
        <v>26.68</v>
      </c>
      <c r="C30" s="557">
        <v>13.91</v>
      </c>
      <c r="D30" s="557">
        <v>84</v>
      </c>
      <c r="E30" s="500"/>
    </row>
    <row r="31" spans="1:5">
      <c r="A31" s="201">
        <v>43194</v>
      </c>
      <c r="B31">
        <v>26.44</v>
      </c>
      <c r="C31" s="557">
        <v>13.88</v>
      </c>
      <c r="D31" s="557">
        <v>84.05</v>
      </c>
      <c r="E31" s="500"/>
    </row>
    <row r="32" spans="1:5">
      <c r="A32" s="201">
        <v>43201</v>
      </c>
      <c r="B32">
        <v>26.07</v>
      </c>
      <c r="C32" s="557">
        <v>13.84</v>
      </c>
      <c r="D32" s="557">
        <v>84.11</v>
      </c>
      <c r="E32" s="500"/>
    </row>
    <row r="33" spans="1:5">
      <c r="A33" s="201">
        <v>43208</v>
      </c>
      <c r="B33">
        <v>25.77</v>
      </c>
      <c r="C33" s="557">
        <v>13.79</v>
      </c>
      <c r="D33" s="557">
        <v>84.17</v>
      </c>
      <c r="E33" s="500"/>
    </row>
    <row r="34" spans="1:5">
      <c r="A34" s="201">
        <v>43215</v>
      </c>
      <c r="B34">
        <v>25.39</v>
      </c>
      <c r="C34" s="557">
        <v>13.76</v>
      </c>
      <c r="D34" s="557">
        <v>84.2</v>
      </c>
      <c r="E34" s="500"/>
    </row>
    <row r="35" spans="1:5">
      <c r="A35" s="201">
        <v>43222</v>
      </c>
      <c r="B35">
        <v>25</v>
      </c>
      <c r="C35" s="557">
        <v>13.74</v>
      </c>
      <c r="D35" s="557">
        <v>84.13</v>
      </c>
      <c r="E35" s="500"/>
    </row>
    <row r="36" spans="1:5">
      <c r="A36" s="201">
        <v>43229</v>
      </c>
      <c r="B36">
        <v>24.4</v>
      </c>
      <c r="C36" s="557">
        <v>13.67</v>
      </c>
      <c r="D36" s="557">
        <v>84.13</v>
      </c>
      <c r="E36" s="500"/>
    </row>
    <row r="37" spans="1:5">
      <c r="A37" s="201">
        <v>43236</v>
      </c>
      <c r="B37">
        <v>23.74</v>
      </c>
      <c r="C37" s="557">
        <v>13.58</v>
      </c>
      <c r="D37" s="557">
        <v>84.01</v>
      </c>
      <c r="E37" s="500"/>
    </row>
    <row r="38" spans="1:5">
      <c r="A38" s="201">
        <v>43243</v>
      </c>
      <c r="B38">
        <v>23.52</v>
      </c>
      <c r="C38" s="557">
        <v>14.17</v>
      </c>
      <c r="D38" s="557">
        <v>83.8</v>
      </c>
      <c r="E38" s="500"/>
    </row>
    <row r="39" spans="1:5">
      <c r="A39" s="201">
        <v>43250</v>
      </c>
      <c r="B39">
        <v>23.73</v>
      </c>
      <c r="C39" s="557">
        <v>15.33</v>
      </c>
      <c r="D39" s="557">
        <v>83.57</v>
      </c>
      <c r="E39" s="500"/>
    </row>
    <row r="40" spans="1:5">
      <c r="A40" s="201">
        <v>43257</v>
      </c>
      <c r="B40">
        <v>23.89</v>
      </c>
      <c r="C40" s="557">
        <v>15.26</v>
      </c>
      <c r="D40" s="557">
        <v>83.43</v>
      </c>
      <c r="E40" s="500"/>
    </row>
    <row r="41" spans="1:5">
      <c r="A41" s="201">
        <v>43264</v>
      </c>
      <c r="B41">
        <v>24.01</v>
      </c>
      <c r="C41" s="557">
        <v>15.26</v>
      </c>
      <c r="D41" s="557">
        <v>83.27</v>
      </c>
      <c r="E41" s="500"/>
    </row>
    <row r="42" spans="1:5">
      <c r="A42" s="201">
        <v>43271</v>
      </c>
      <c r="B42">
        <v>24.05</v>
      </c>
      <c r="C42" s="557">
        <v>15.29</v>
      </c>
      <c r="D42" s="557">
        <v>83.19</v>
      </c>
      <c r="E42" s="500"/>
    </row>
    <row r="43" spans="1:5">
      <c r="A43" s="201">
        <v>43278</v>
      </c>
      <c r="B43">
        <v>24.06</v>
      </c>
      <c r="C43" s="557">
        <v>15.26</v>
      </c>
      <c r="D43" s="557">
        <v>83.16</v>
      </c>
      <c r="E43" s="500"/>
    </row>
    <row r="44" spans="1:5">
      <c r="A44" s="201">
        <v>43285</v>
      </c>
      <c r="B44">
        <v>23.97</v>
      </c>
      <c r="C44" s="557">
        <v>15.29</v>
      </c>
      <c r="D44" s="557">
        <v>83.05</v>
      </c>
      <c r="E44" s="500"/>
    </row>
    <row r="45" spans="1:5">
      <c r="A45" s="201">
        <v>43292</v>
      </c>
      <c r="B45">
        <v>24.26</v>
      </c>
      <c r="C45" s="557">
        <v>17.239999999999998</v>
      </c>
      <c r="D45" s="557">
        <v>83.32</v>
      </c>
      <c r="E45" s="500"/>
    </row>
    <row r="46" spans="1:5">
      <c r="A46" s="201">
        <v>43299</v>
      </c>
      <c r="B46">
        <v>24.26</v>
      </c>
      <c r="C46" s="557">
        <v>16.88</v>
      </c>
      <c r="D46" s="557">
        <v>83.26</v>
      </c>
      <c r="E46" s="500"/>
    </row>
    <row r="47" spans="1:5">
      <c r="A47" s="201">
        <v>43306</v>
      </c>
      <c r="B47">
        <v>24.59</v>
      </c>
      <c r="C47" s="557">
        <v>17.79</v>
      </c>
      <c r="D47" s="557">
        <v>83.17</v>
      </c>
      <c r="E47" s="500"/>
    </row>
    <row r="48" spans="1:5">
      <c r="A48" s="201">
        <v>43313</v>
      </c>
      <c r="B48">
        <v>24.82</v>
      </c>
      <c r="C48" s="557">
        <v>17.91</v>
      </c>
      <c r="D48" s="557">
        <v>83.09</v>
      </c>
      <c r="E48" s="500"/>
    </row>
    <row r="49" spans="1:5">
      <c r="A49" s="201">
        <v>43320</v>
      </c>
      <c r="B49">
        <v>25.2</v>
      </c>
      <c r="C49" s="557">
        <v>18.63</v>
      </c>
      <c r="D49" s="557">
        <v>82.98</v>
      </c>
      <c r="E49" s="500"/>
    </row>
    <row r="50" spans="1:5">
      <c r="A50" s="201">
        <v>43327</v>
      </c>
      <c r="B50">
        <v>25.5</v>
      </c>
      <c r="C50" s="557">
        <v>18.86</v>
      </c>
      <c r="D50" s="557">
        <v>82.78</v>
      </c>
      <c r="E50" s="500"/>
    </row>
    <row r="51" spans="1:5">
      <c r="A51" s="201">
        <v>43334</v>
      </c>
      <c r="C51" s="557">
        <v>18.71</v>
      </c>
      <c r="D51" s="557">
        <v>82.7</v>
      </c>
      <c r="E51" s="500"/>
    </row>
    <row r="52" spans="1:5">
      <c r="A52" s="201">
        <v>43341</v>
      </c>
      <c r="B52">
        <v>25.66</v>
      </c>
      <c r="C52" s="557">
        <v>18.5</v>
      </c>
      <c r="D52" s="557">
        <v>81.3</v>
      </c>
      <c r="E52" s="500"/>
    </row>
    <row r="53" spans="1:5">
      <c r="A53" s="201">
        <v>43348</v>
      </c>
      <c r="B53">
        <v>25.74</v>
      </c>
      <c r="C53" s="557">
        <v>19.059999999999999</v>
      </c>
      <c r="D53" s="557">
        <v>82.34</v>
      </c>
      <c r="E53" s="500"/>
    </row>
    <row r="54" spans="1:5">
      <c r="A54" s="201">
        <v>43355</v>
      </c>
      <c r="B54">
        <v>25.72</v>
      </c>
      <c r="C54" s="557">
        <v>19.16</v>
      </c>
      <c r="D54" s="557">
        <v>82.05</v>
      </c>
      <c r="E54" s="500"/>
    </row>
    <row r="55" spans="1:5">
      <c r="A55" s="201">
        <v>43362</v>
      </c>
      <c r="B55">
        <v>25.54</v>
      </c>
      <c r="C55" s="557">
        <v>19.38</v>
      </c>
      <c r="D55" s="557">
        <v>81.739999999999995</v>
      </c>
      <c r="E55" s="500"/>
    </row>
    <row r="56" spans="1:5">
      <c r="A56" s="201">
        <v>43369</v>
      </c>
      <c r="C56" s="557">
        <v>19.309999999999999</v>
      </c>
      <c r="D56" s="557">
        <v>81.83</v>
      </c>
      <c r="E56" s="500"/>
    </row>
    <row r="57" spans="1:5">
      <c r="A57" s="201">
        <v>43376</v>
      </c>
      <c r="B57">
        <v>25.3</v>
      </c>
      <c r="E57" s="500"/>
    </row>
    <row r="58" spans="1:5">
      <c r="A58" s="201">
        <v>43383</v>
      </c>
      <c r="B58">
        <v>25.06</v>
      </c>
      <c r="C58" s="557">
        <v>19.170000000000002</v>
      </c>
      <c r="D58" s="557">
        <v>80.650000000000006</v>
      </c>
      <c r="E58" s="500"/>
    </row>
    <row r="59" spans="1:5">
      <c r="A59" s="201">
        <v>43390</v>
      </c>
      <c r="B59">
        <v>24.69</v>
      </c>
      <c r="C59" s="557">
        <v>19.04</v>
      </c>
      <c r="D59" s="557">
        <v>82.54</v>
      </c>
      <c r="E59" s="500"/>
    </row>
    <row r="60" spans="1:5">
      <c r="A60" s="201">
        <v>43397</v>
      </c>
      <c r="B60">
        <v>24.28</v>
      </c>
      <c r="C60" s="557">
        <v>18.63</v>
      </c>
      <c r="D60" s="557">
        <v>83.5</v>
      </c>
      <c r="E60" s="500"/>
    </row>
    <row r="61" spans="1:5">
      <c r="A61" s="201">
        <v>43404</v>
      </c>
      <c r="B61">
        <v>24.07</v>
      </c>
      <c r="C61" s="557">
        <v>18.45</v>
      </c>
      <c r="D61" s="557">
        <v>83.75</v>
      </c>
      <c r="E61" s="500"/>
    </row>
    <row r="62" spans="1:5">
      <c r="A62" s="201">
        <v>43411</v>
      </c>
      <c r="B62">
        <v>23.83</v>
      </c>
      <c r="C62" s="557">
        <v>18.239999999999998</v>
      </c>
      <c r="D62" s="557">
        <v>83.93</v>
      </c>
      <c r="E62" s="500"/>
    </row>
    <row r="63" spans="1:5">
      <c r="A63" s="201">
        <v>43418</v>
      </c>
      <c r="B63">
        <v>23.58</v>
      </c>
      <c r="C63" s="557">
        <v>17.96</v>
      </c>
      <c r="D63" s="557">
        <v>84.37</v>
      </c>
      <c r="E63" s="500">
        <f>VLOOKUP(A63,价格!A:G,7,FALSE)</f>
        <v>2055</v>
      </c>
    </row>
    <row r="64" spans="1:5">
      <c r="A64" s="201">
        <v>43425</v>
      </c>
      <c r="B64">
        <v>23.2</v>
      </c>
      <c r="C64" s="557">
        <v>17.62</v>
      </c>
      <c r="D64" s="557">
        <v>84.38</v>
      </c>
      <c r="E64" s="500">
        <f>VLOOKUP(A64,价格!A:G,7,FALSE)</f>
        <v>2060</v>
      </c>
    </row>
    <row r="65" spans="1:5">
      <c r="A65" s="201">
        <v>43432</v>
      </c>
      <c r="B65">
        <v>22.82</v>
      </c>
      <c r="C65" s="557">
        <v>17.63</v>
      </c>
      <c r="E65" s="500">
        <f>VLOOKUP(A65,价格!A:G,7,FALSE)</f>
        <v>2060</v>
      </c>
    </row>
    <row r="66" spans="1:5">
      <c r="A66" s="201">
        <v>43439</v>
      </c>
      <c r="B66">
        <v>22.8</v>
      </c>
      <c r="C66" s="557">
        <v>18.010000000000002</v>
      </c>
      <c r="D66" s="557">
        <v>84.85</v>
      </c>
      <c r="E66" s="500">
        <f>VLOOKUP(A66,价格!A:G,7,FALSE)</f>
        <v>2050</v>
      </c>
    </row>
    <row r="67" spans="1:5">
      <c r="A67" s="201">
        <v>43446</v>
      </c>
      <c r="B67">
        <v>22.63</v>
      </c>
      <c r="C67" s="557">
        <v>18.16</v>
      </c>
      <c r="D67" s="557">
        <v>85.05</v>
      </c>
      <c r="E67" s="500">
        <f>VLOOKUP(A67,价格!A:G,7,FALSE)</f>
        <v>2030</v>
      </c>
    </row>
    <row r="68" spans="1:5">
      <c r="A68" s="201">
        <v>43453</v>
      </c>
      <c r="B68">
        <v>22.59</v>
      </c>
      <c r="C68" s="557">
        <v>17.89</v>
      </c>
      <c r="D68" s="557">
        <v>85.12</v>
      </c>
      <c r="E68" s="500">
        <f>VLOOKUP(A68,价格!A:G,7,FALSE)</f>
        <v>2020</v>
      </c>
    </row>
    <row r="69" spans="1:5">
      <c r="A69" s="201">
        <v>43460</v>
      </c>
      <c r="B69">
        <v>22.48</v>
      </c>
      <c r="C69" s="557">
        <v>17.59</v>
      </c>
      <c r="D69" s="557">
        <v>85.18</v>
      </c>
      <c r="E69" s="500">
        <f>VLOOKUP(A69,价格!A:G,7,FALSE)</f>
        <v>1970</v>
      </c>
    </row>
    <row r="70" spans="1:5">
      <c r="A70" s="201">
        <v>43467</v>
      </c>
      <c r="B70">
        <v>22.44</v>
      </c>
      <c r="C70" s="557">
        <v>17.579999999999998</v>
      </c>
      <c r="D70" s="557">
        <v>84.98</v>
      </c>
      <c r="E70" s="500">
        <f>VLOOKUP(A70,价格!A:G,7,FALSE)</f>
        <v>1985</v>
      </c>
    </row>
    <row r="71" spans="1:5">
      <c r="A71" s="201">
        <v>43474</v>
      </c>
      <c r="B71">
        <v>22.22</v>
      </c>
      <c r="C71" s="557">
        <v>17.010000000000002</v>
      </c>
      <c r="D71" s="557">
        <v>84.89</v>
      </c>
      <c r="E71" s="500">
        <f>VLOOKUP(A71,价格!A:G,7,FALSE)</f>
        <v>1990</v>
      </c>
    </row>
    <row r="72" spans="1:5">
      <c r="A72" s="201">
        <v>43481</v>
      </c>
      <c r="B72">
        <v>22.02</v>
      </c>
      <c r="C72" s="557">
        <v>16.37</v>
      </c>
      <c r="D72" s="557">
        <v>84.41</v>
      </c>
      <c r="E72" s="500">
        <f>VLOOKUP(A72,价格!A:G,7,FALSE)</f>
        <v>1970</v>
      </c>
    </row>
    <row r="73" spans="1:5">
      <c r="A73" s="201">
        <v>43488</v>
      </c>
      <c r="B73">
        <v>21.74</v>
      </c>
      <c r="C73" s="557">
        <v>15.39</v>
      </c>
      <c r="D73" s="557">
        <v>84.18</v>
      </c>
      <c r="E73" s="500">
        <f>VLOOKUP(A73,价格!A:G,7,FALSE)</f>
        <v>1970</v>
      </c>
    </row>
    <row r="74" spans="1:5">
      <c r="A74" s="201">
        <v>43495</v>
      </c>
      <c r="C74" s="557">
        <v>15.35</v>
      </c>
      <c r="D74" s="557">
        <v>83.79</v>
      </c>
      <c r="E74" s="500">
        <f>VLOOKUP(A74,价格!A:G,7,FALSE)</f>
        <v>1970</v>
      </c>
    </row>
    <row r="75" spans="1:5">
      <c r="A75" s="201">
        <v>43502</v>
      </c>
      <c r="B75">
        <v>21.59</v>
      </c>
      <c r="E75" s="500" t="e">
        <f>VLOOKUP(A75,价格!A:G,7,FALSE)</f>
        <v>#N/A</v>
      </c>
    </row>
    <row r="76" spans="1:5">
      <c r="A76" s="201">
        <v>43509</v>
      </c>
      <c r="B76">
        <v>22.37</v>
      </c>
      <c r="C76" s="557">
        <v>16.27</v>
      </c>
      <c r="D76" s="557">
        <v>83.19</v>
      </c>
      <c r="E76" s="500">
        <f>VLOOKUP(A76,价格!A:G,7,FALSE)</f>
        <v>1970</v>
      </c>
    </row>
    <row r="77" spans="1:5">
      <c r="A77" s="201">
        <v>43516</v>
      </c>
      <c r="B77">
        <v>23.57</v>
      </c>
      <c r="E77" s="500">
        <f>VLOOKUP(A77,价格!A:G,7,FALSE)</f>
        <v>1930</v>
      </c>
    </row>
    <row r="78" spans="1:5">
      <c r="A78" s="201">
        <v>43523</v>
      </c>
      <c r="B78">
        <v>24.61</v>
      </c>
      <c r="C78" s="557">
        <v>15.94</v>
      </c>
      <c r="D78" s="557">
        <v>83.04</v>
      </c>
      <c r="E78" s="500">
        <f>VLOOKUP(A78,价格!A:G,7,FALSE)</f>
        <v>1870</v>
      </c>
    </row>
    <row r="79" spans="1:5">
      <c r="A79" s="201">
        <v>43530</v>
      </c>
      <c r="B79">
        <v>25.84</v>
      </c>
      <c r="C79" s="557">
        <v>17.39</v>
      </c>
      <c r="D79" s="557">
        <v>83.14</v>
      </c>
      <c r="E79" s="500">
        <f>VLOOKUP(A79,价格!A:G,7,FALSE)</f>
        <v>1880</v>
      </c>
    </row>
    <row r="80" spans="1:5">
      <c r="A80" s="201">
        <v>43537</v>
      </c>
      <c r="B80">
        <v>29.49</v>
      </c>
      <c r="C80" s="557">
        <v>20.14</v>
      </c>
      <c r="D80" s="557">
        <v>83.38</v>
      </c>
      <c r="E80" s="500">
        <f>VLOOKUP(A80,价格!A:G,7,FALSE)</f>
        <v>1870</v>
      </c>
    </row>
    <row r="81" spans="1:5">
      <c r="A81" s="201">
        <v>43544</v>
      </c>
      <c r="B81">
        <v>31.91</v>
      </c>
      <c r="C81" s="557">
        <v>20.62</v>
      </c>
      <c r="D81" s="557">
        <v>83.59</v>
      </c>
      <c r="E81" s="500">
        <f>VLOOKUP(A81,价格!A:G,7,FALSE)</f>
        <v>1890</v>
      </c>
    </row>
    <row r="82" spans="1:5">
      <c r="A82" s="201">
        <v>43551</v>
      </c>
      <c r="B82">
        <v>34.159999999999997</v>
      </c>
      <c r="C82" s="557">
        <v>20.32</v>
      </c>
      <c r="D82" s="557">
        <v>84.12</v>
      </c>
      <c r="E82" s="500">
        <f>VLOOKUP(A82,价格!A:G,7,FALSE)</f>
        <v>1870</v>
      </c>
    </row>
    <row r="83" spans="1:5">
      <c r="A83" s="201">
        <v>43558</v>
      </c>
      <c r="B83">
        <v>35.61</v>
      </c>
      <c r="C83" s="557">
        <v>20.399999999999999</v>
      </c>
      <c r="D83" s="557">
        <v>84.24</v>
      </c>
      <c r="E83" s="534">
        <f>VLOOKUP(A83,价格!A:G,7,FALSE)</f>
        <v>1850</v>
      </c>
    </row>
    <row r="84" spans="1:5">
      <c r="A84" s="201">
        <v>43565</v>
      </c>
      <c r="B84">
        <v>36.340000000000003</v>
      </c>
      <c r="C84" s="557">
        <v>20.28</v>
      </c>
      <c r="D84" s="557">
        <v>84.34</v>
      </c>
      <c r="E84" s="534">
        <f>VLOOKUP(A84,价格!A:G,7,FALSE)</f>
        <v>1860</v>
      </c>
    </row>
    <row r="85" spans="1:5">
      <c r="A85" s="201">
        <v>43572</v>
      </c>
      <c r="C85" s="557">
        <v>19.850000000000001</v>
      </c>
      <c r="D85" s="557">
        <v>84.4</v>
      </c>
      <c r="E85" s="534">
        <f>VLOOKUP(A85,价格!A:G,7,FALSE)</f>
        <v>1890</v>
      </c>
    </row>
    <row r="86" spans="1:5">
      <c r="A86" s="201"/>
      <c r="E86" s="500"/>
    </row>
    <row r="87" spans="1:5">
      <c r="A87" s="201"/>
      <c r="E87" s="500"/>
    </row>
    <row r="88" spans="1:5">
      <c r="A88" s="201"/>
      <c r="E88" s="500"/>
    </row>
    <row r="89" spans="1:5">
      <c r="A89" s="201"/>
      <c r="E89" s="500"/>
    </row>
    <row r="90" spans="1:5">
      <c r="A90" s="201"/>
      <c r="E90" s="500"/>
    </row>
    <row r="91" spans="1:5">
      <c r="A91" s="201"/>
      <c r="E91" s="500"/>
    </row>
    <row r="92" spans="1:5">
      <c r="A92" s="201"/>
      <c r="E92" s="500"/>
    </row>
    <row r="93" spans="1:5">
      <c r="A93" s="201"/>
      <c r="E93" s="500"/>
    </row>
    <row r="94" spans="1:5">
      <c r="A94" s="201"/>
      <c r="E94" s="500"/>
    </row>
    <row r="95" spans="1:5">
      <c r="A95" s="201"/>
      <c r="E95" s="500"/>
    </row>
    <row r="96" spans="1:5">
      <c r="A96" s="201"/>
      <c r="E96" s="500"/>
    </row>
    <row r="97" spans="1:5">
      <c r="A97" s="201"/>
      <c r="E97" s="500"/>
    </row>
    <row r="98" spans="1:5">
      <c r="A98" s="201"/>
      <c r="E98" s="500"/>
    </row>
    <row r="99" spans="1:5">
      <c r="A99" s="201"/>
      <c r="E99" s="500"/>
    </row>
    <row r="100" spans="1:5">
      <c r="A100" s="201"/>
      <c r="E100" s="500"/>
    </row>
    <row r="101" spans="1:5">
      <c r="A101" s="201"/>
      <c r="E101" s="500"/>
    </row>
    <row r="102" spans="1:5">
      <c r="A102" s="201"/>
      <c r="E102" s="500"/>
    </row>
    <row r="103" spans="1:5">
      <c r="A103" s="201"/>
      <c r="E103" s="500"/>
    </row>
    <row r="104" spans="1:5">
      <c r="A104" s="201"/>
      <c r="E104" s="500"/>
    </row>
    <row r="105" spans="1:5">
      <c r="A105" s="201"/>
      <c r="E105" s="500"/>
    </row>
    <row r="106" spans="1:5">
      <c r="A106" s="201"/>
      <c r="E106" s="500"/>
    </row>
    <row r="107" spans="1:5">
      <c r="A107" s="201"/>
      <c r="E107" s="500"/>
    </row>
    <row r="108" spans="1:5">
      <c r="A108" s="201"/>
      <c r="E108" s="500"/>
    </row>
    <row r="109" spans="1:5">
      <c r="A109" s="201"/>
      <c r="E109" s="500"/>
    </row>
    <row r="110" spans="1:5">
      <c r="A110" s="201"/>
      <c r="E110" s="500"/>
    </row>
    <row r="111" spans="1:5">
      <c r="A111" s="201"/>
      <c r="E111" s="500"/>
    </row>
    <row r="112" spans="1:5">
      <c r="A112" s="201"/>
      <c r="E112" s="500"/>
    </row>
    <row r="113" spans="1:5">
      <c r="A113" s="201"/>
      <c r="E113" s="500"/>
    </row>
    <row r="114" spans="1:5">
      <c r="A114" s="201"/>
      <c r="E114" s="500"/>
    </row>
    <row r="115" spans="1:5">
      <c r="A115" s="201"/>
      <c r="E115" s="500"/>
    </row>
    <row r="116" spans="1:5">
      <c r="A116" s="201"/>
      <c r="E116" s="500"/>
    </row>
    <row r="117" spans="1:5">
      <c r="A117" s="201"/>
      <c r="E117" s="500"/>
    </row>
    <row r="118" spans="1:5">
      <c r="A118" s="201"/>
      <c r="E118" s="500"/>
    </row>
    <row r="119" spans="1:5">
      <c r="A119" s="201"/>
      <c r="E119" s="500"/>
    </row>
    <row r="120" spans="1:5">
      <c r="A120" s="201"/>
      <c r="E120" s="500"/>
    </row>
    <row r="121" spans="1:5">
      <c r="A121" s="201"/>
      <c r="E121" s="500"/>
    </row>
    <row r="122" spans="1:5">
      <c r="A122" s="201"/>
    </row>
    <row r="123" spans="1:5">
      <c r="A123" s="201"/>
    </row>
    <row r="124" spans="1:5">
      <c r="A124" s="201"/>
    </row>
    <row r="125" spans="1:5">
      <c r="A125" s="201"/>
    </row>
    <row r="126" spans="1:5">
      <c r="A126" s="201"/>
    </row>
    <row r="127" spans="1:5">
      <c r="A127" s="201"/>
    </row>
    <row r="128" spans="1:5">
      <c r="A128" s="201"/>
    </row>
    <row r="129" spans="1:1">
      <c r="A129" s="201"/>
    </row>
    <row r="130" spans="1:1">
      <c r="A130" s="201"/>
    </row>
    <row r="131" spans="1:1">
      <c r="A131" s="201"/>
    </row>
    <row r="132" spans="1:1">
      <c r="A132" s="201"/>
    </row>
    <row r="133" spans="1:1">
      <c r="A133" s="201"/>
    </row>
    <row r="134" spans="1:1">
      <c r="A134" s="201"/>
    </row>
    <row r="135" spans="1:1">
      <c r="A135" s="201"/>
    </row>
    <row r="136" spans="1:1">
      <c r="A136" s="201"/>
    </row>
    <row r="137" spans="1:1">
      <c r="A137" s="201"/>
    </row>
    <row r="138" spans="1:1">
      <c r="A138" s="201"/>
    </row>
    <row r="139" spans="1:1">
      <c r="A139" s="201"/>
    </row>
    <row r="140" spans="1:1">
      <c r="A140" s="201"/>
    </row>
    <row r="141" spans="1:1">
      <c r="A141" s="201"/>
    </row>
    <row r="142" spans="1:1">
      <c r="A142" s="201"/>
    </row>
    <row r="143" spans="1:1">
      <c r="A143" s="201"/>
    </row>
    <row r="144" spans="1:1">
      <c r="A144" s="201"/>
    </row>
    <row r="145" spans="1:1">
      <c r="A145" s="201"/>
    </row>
    <row r="146" spans="1:1">
      <c r="A146" s="201"/>
    </row>
    <row r="147" spans="1:1">
      <c r="A147" s="201"/>
    </row>
    <row r="148" spans="1:1">
      <c r="A148" s="201"/>
    </row>
    <row r="149" spans="1:1">
      <c r="A149" s="201"/>
    </row>
    <row r="150" spans="1:1">
      <c r="A150" s="201"/>
    </row>
    <row r="151" spans="1:1">
      <c r="A151" s="201"/>
    </row>
    <row r="152" spans="1:1">
      <c r="A152" s="201"/>
    </row>
    <row r="153" spans="1:1">
      <c r="A153" s="201"/>
    </row>
    <row r="154" spans="1:1">
      <c r="A154" s="201"/>
    </row>
    <row r="155" spans="1:1">
      <c r="A155" s="201"/>
    </row>
    <row r="156" spans="1:1">
      <c r="A156" s="201"/>
    </row>
    <row r="157" spans="1:1">
      <c r="A157" s="201"/>
    </row>
    <row r="158" spans="1:1">
      <c r="A158" s="201"/>
    </row>
    <row r="159" spans="1:1">
      <c r="A159" s="201"/>
    </row>
    <row r="160" spans="1:1">
      <c r="A160" s="201"/>
    </row>
    <row r="161" spans="1:1">
      <c r="A161" s="201"/>
    </row>
    <row r="162" spans="1:1">
      <c r="A162" s="201"/>
    </row>
    <row r="163" spans="1:1">
      <c r="A163" s="201"/>
    </row>
    <row r="164" spans="1:1">
      <c r="A164" s="201"/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F32" zoomScaleNormal="100" workbookViewId="0">
      <selection activeCell="L5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380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01" t="s">
        <v>359</v>
      </c>
      <c r="B1" s="301">
        <f>INDEX(价格!$B:$B, COUNTA(价格!$A:$A)+1)</f>
        <v>1810</v>
      </c>
      <c r="C1" s="599">
        <f ca="1">TODAY()</f>
        <v>43579</v>
      </c>
      <c r="D1" s="291"/>
      <c r="E1" s="292" t="s">
        <v>361</v>
      </c>
      <c r="F1" s="292" t="s">
        <v>438</v>
      </c>
      <c r="G1" s="292" t="s">
        <v>362</v>
      </c>
      <c r="H1" s="292" t="s">
        <v>363</v>
      </c>
      <c r="I1" s="292" t="s">
        <v>364</v>
      </c>
      <c r="J1" s="292" t="s">
        <v>389</v>
      </c>
      <c r="L1" s="599">
        <f ca="1">C1</f>
        <v>43579</v>
      </c>
      <c r="M1" s="314"/>
      <c r="N1" s="431" t="str">
        <f>I1</f>
        <v>兴安盟稷丰</v>
      </c>
      <c r="O1" s="431" t="str">
        <f>E1</f>
        <v>克山天跃</v>
      </c>
      <c r="P1" s="431" t="str">
        <f t="shared" ref="P1:P3" si="0">J1</f>
        <v>大安洵佶</v>
      </c>
      <c r="Q1" s="431" t="str">
        <f t="shared" ref="Q1:R3" si="1">G1</f>
        <v>镇赉益健</v>
      </c>
      <c r="R1" s="431" t="str">
        <f t="shared" si="1"/>
        <v>安达亿鼎</v>
      </c>
      <c r="T1" t="s">
        <v>418</v>
      </c>
      <c r="U1" t="s">
        <v>361</v>
      </c>
      <c r="V1" t="s">
        <v>362</v>
      </c>
      <c r="W1" t="s">
        <v>363</v>
      </c>
      <c r="X1" t="s">
        <v>419</v>
      </c>
      <c r="Y1" t="s">
        <v>364</v>
      </c>
      <c r="Z1" t="s">
        <v>421</v>
      </c>
      <c r="AA1" t="s">
        <v>439</v>
      </c>
    </row>
    <row r="2" spans="1:27" ht="16.5">
      <c r="A2" s="543" t="s">
        <v>440</v>
      </c>
      <c r="B2" s="543">
        <v>1874</v>
      </c>
      <c r="C2" s="599"/>
      <c r="D2" s="184" t="s">
        <v>365</v>
      </c>
      <c r="E2" s="184"/>
      <c r="F2" s="378"/>
      <c r="G2" s="184"/>
      <c r="H2" s="350"/>
      <c r="I2" s="350"/>
      <c r="J2" s="184"/>
      <c r="L2" s="599"/>
      <c r="M2" s="315" t="str">
        <f t="shared" ref="M2:M4" si="2">D2</f>
        <v>潮粮价</v>
      </c>
      <c r="N2" s="432">
        <f>I2</f>
        <v>0</v>
      </c>
      <c r="O2" s="432">
        <f>E2</f>
        <v>0</v>
      </c>
      <c r="P2" s="432">
        <f t="shared" si="0"/>
        <v>0</v>
      </c>
      <c r="Q2" s="432">
        <f t="shared" si="1"/>
        <v>0</v>
      </c>
      <c r="R2" s="432">
        <f t="shared" si="1"/>
        <v>0</v>
      </c>
      <c r="T2" s="201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01" t="s">
        <v>383</v>
      </c>
      <c r="B3" s="303">
        <f ca="1">TODAY()</f>
        <v>43579</v>
      </c>
      <c r="C3" s="599"/>
      <c r="D3" s="184" t="s">
        <v>366</v>
      </c>
      <c r="E3" s="184">
        <v>1650</v>
      </c>
      <c r="F3" s="378">
        <f>LOOKUP(2,1/(AA:AA&lt;&gt;0),AA:AA)</f>
        <v>1661</v>
      </c>
      <c r="G3" s="324">
        <v>1843</v>
      </c>
      <c r="H3" s="350">
        <v>1790</v>
      </c>
      <c r="I3" s="350">
        <v>1745</v>
      </c>
      <c r="J3" s="324">
        <v>1828</v>
      </c>
      <c r="L3" s="599"/>
      <c r="M3" s="315" t="str">
        <f t="shared" si="2"/>
        <v>干粮价</v>
      </c>
      <c r="N3" s="433">
        <f>I3</f>
        <v>1745</v>
      </c>
      <c r="O3" s="433">
        <f>E3</f>
        <v>1650</v>
      </c>
      <c r="P3" s="433">
        <f t="shared" si="0"/>
        <v>1828</v>
      </c>
      <c r="Q3" s="433">
        <f t="shared" si="1"/>
        <v>1843</v>
      </c>
      <c r="R3" s="433">
        <f t="shared" si="1"/>
        <v>1790</v>
      </c>
      <c r="T3" s="201">
        <v>43439</v>
      </c>
      <c r="U3">
        <v>1753</v>
      </c>
      <c r="V3">
        <v>1762</v>
      </c>
      <c r="Y3">
        <v>1769</v>
      </c>
    </row>
    <row r="4" spans="1:27" ht="16.5">
      <c r="A4" s="301" t="s">
        <v>384</v>
      </c>
      <c r="B4" s="303">
        <v>43590</v>
      </c>
      <c r="C4" s="599"/>
      <c r="D4" s="184" t="s">
        <v>411</v>
      </c>
      <c r="E4" s="184">
        <f>E3-INDEX(U:U,COUNTA(U:U))</f>
        <v>-16</v>
      </c>
      <c r="F4" s="378">
        <f>F3-LOOKUP(2,1/(AA:AA&lt;&gt;0),AA:AA)</f>
        <v>0</v>
      </c>
      <c r="G4" s="324"/>
      <c r="H4" s="350"/>
      <c r="I4" s="350">
        <f>I3-INDEX(Y:Y,COUNTA(Y:Y)-1)</f>
        <v>35</v>
      </c>
      <c r="J4" s="324"/>
      <c r="L4" s="599"/>
      <c r="M4" s="315" t="str">
        <f t="shared" si="2"/>
        <v>较昨日变化</v>
      </c>
      <c r="N4" s="606" t="s">
        <v>441</v>
      </c>
      <c r="O4" s="607"/>
      <c r="P4" s="607"/>
      <c r="Q4" s="607"/>
      <c r="R4" s="608"/>
      <c r="S4" s="387"/>
      <c r="T4" s="201">
        <v>43440</v>
      </c>
      <c r="U4">
        <v>1728</v>
      </c>
      <c r="V4">
        <v>1762</v>
      </c>
      <c r="Y4">
        <v>1769</v>
      </c>
    </row>
    <row r="5" spans="1:27" ht="16.5">
      <c r="A5" s="543" t="s">
        <v>413</v>
      </c>
      <c r="B5" s="544">
        <v>1874</v>
      </c>
      <c r="C5" s="610" t="s">
        <v>387</v>
      </c>
      <c r="D5" s="298" t="s">
        <v>130</v>
      </c>
      <c r="E5" s="298" t="s">
        <v>388</v>
      </c>
      <c r="F5" s="379"/>
      <c r="G5" s="298" t="s">
        <v>235</v>
      </c>
      <c r="H5" s="298" t="s">
        <v>118</v>
      </c>
      <c r="I5" s="298"/>
      <c r="J5" s="298" t="s">
        <v>126</v>
      </c>
      <c r="L5" s="601" t="str">
        <f>C11</f>
        <v>到港成本</v>
      </c>
      <c r="M5" s="316" t="str">
        <f t="shared" ref="M5:N7" si="3">D14</f>
        <v>我司到港成本</v>
      </c>
      <c r="N5" s="434">
        <f>I14</f>
        <v>1924.4</v>
      </c>
      <c r="O5" s="434">
        <f>E14</f>
        <v>1887</v>
      </c>
      <c r="P5" s="434">
        <f>J14</f>
        <v>1999.4</v>
      </c>
      <c r="Q5" s="434">
        <f>G14</f>
        <v>1944</v>
      </c>
      <c r="R5" s="434">
        <f>H14</f>
        <v>2018</v>
      </c>
      <c r="T5" s="201">
        <v>43441</v>
      </c>
      <c r="U5">
        <v>1716</v>
      </c>
      <c r="V5">
        <v>1762</v>
      </c>
      <c r="Y5">
        <v>1769</v>
      </c>
    </row>
    <row r="6" spans="1:27" ht="16.5">
      <c r="A6" s="520" t="s">
        <v>479</v>
      </c>
      <c r="B6" s="523">
        <f ca="1">(B1+B2*0.2)*0.08*(B4-B3-1)/365</f>
        <v>4.788602739726028</v>
      </c>
      <c r="C6" s="610"/>
      <c r="D6" s="298" t="s">
        <v>366</v>
      </c>
      <c r="E6" s="298">
        <f>LOOKUP(2,1/(价格!V:V&lt;&gt;0),价格!V:V)</f>
        <v>1610</v>
      </c>
      <c r="F6" s="379"/>
      <c r="G6" s="298">
        <f>LOOKUP(2,1/(价格!W:W&lt;&gt;0),价格!W:W)</f>
        <v>1620</v>
      </c>
      <c r="H6" s="298">
        <f>LOOKUP(2,1/(价格!$AB:$AB&lt;&gt;0),价格!$AB:$AB)</f>
        <v>1700</v>
      </c>
      <c r="I6" s="298"/>
      <c r="J6" s="298">
        <f>LOOKUP(2,1/(价格!$AK:$AK&lt;&gt;0),价格!$AK:$AK)</f>
        <v>1690</v>
      </c>
      <c r="L6" s="601"/>
      <c r="M6" s="327" t="str">
        <f t="shared" si="3"/>
        <v>锦州港价格</v>
      </c>
      <c r="N6" s="596">
        <f t="shared" si="3"/>
        <v>1810</v>
      </c>
      <c r="O6" s="596"/>
      <c r="P6" s="596"/>
      <c r="Q6" s="596"/>
      <c r="R6" s="596"/>
      <c r="T6" s="201">
        <v>43442</v>
      </c>
      <c r="U6">
        <v>1716</v>
      </c>
      <c r="V6">
        <v>1762</v>
      </c>
      <c r="Y6">
        <v>1749</v>
      </c>
    </row>
    <row r="7" spans="1:27" s="309" customFormat="1" ht="16.5">
      <c r="A7" s="541" t="s">
        <v>489</v>
      </c>
      <c r="B7" s="524">
        <f ca="1">MIN(B4-B3-5,20)</f>
        <v>6</v>
      </c>
      <c r="C7" s="610"/>
      <c r="D7" s="298" t="s">
        <v>410</v>
      </c>
      <c r="E7" s="298">
        <f>INDEX(价格!$V:$V, COUNTA(价格!$A:$A)+1)-INDEX(价格!$V:$V, COUNTA(价格!$A:$A))</f>
        <v>0</v>
      </c>
      <c r="F7" s="379"/>
      <c r="G7" s="325">
        <f>INDEX(价格!$W:$W, COUNTA(价格!$A:$A)+1)-INDEX(价格!$W:$W, COUNTA(价格!$A:$A))</f>
        <v>0</v>
      </c>
      <c r="H7" s="325">
        <f>INDEX(价格!$AB:$AB, COUNTA(价格!$A:$A)+1)-INDEX(价格!$AB:$AB, COUNTA(价格!$A:$A))</f>
        <v>0</v>
      </c>
      <c r="I7" s="325"/>
      <c r="J7" s="325">
        <f>INDEX(价格!$AK:$AK, COUNTA(价格!$A:$A)+1)-INDEX(价格!$AK:$AK, COUNTA(价格!$A:$A))</f>
        <v>0</v>
      </c>
      <c r="L7" s="601"/>
      <c r="M7" s="329" t="str">
        <f t="shared" si="3"/>
        <v>较昨日变化</v>
      </c>
      <c r="N7" s="597">
        <f t="shared" si="3"/>
        <v>10</v>
      </c>
      <c r="O7" s="597"/>
      <c r="P7" s="597"/>
      <c r="Q7" s="597"/>
      <c r="R7" s="597"/>
      <c r="T7" s="201">
        <v>43443</v>
      </c>
      <c r="U7" s="309">
        <v>1730</v>
      </c>
      <c r="V7" s="309">
        <v>1762</v>
      </c>
      <c r="Y7" s="309">
        <v>1749</v>
      </c>
    </row>
    <row r="8" spans="1:27" ht="16.5">
      <c r="A8" s="541" t="s">
        <v>490</v>
      </c>
      <c r="B8" s="524">
        <f ca="1">MIN(B4-B3,5)</f>
        <v>5</v>
      </c>
      <c r="C8" s="610"/>
      <c r="D8" s="298" t="s">
        <v>399</v>
      </c>
      <c r="E8" s="298" t="s">
        <v>401</v>
      </c>
      <c r="F8" s="379"/>
      <c r="G8" s="298" t="s">
        <v>395</v>
      </c>
      <c r="H8" s="298" t="s">
        <v>396</v>
      </c>
      <c r="I8" s="298" t="s">
        <v>397</v>
      </c>
      <c r="J8" s="298" t="s">
        <v>398</v>
      </c>
      <c r="L8" s="602" t="str">
        <f>C31</f>
        <v>期货1905</v>
      </c>
      <c r="M8" s="323" t="str">
        <f>D31</f>
        <v>我司交割成本</v>
      </c>
      <c r="N8" s="435">
        <f ca="1">I31</f>
        <v>1966.9884383561646</v>
      </c>
      <c r="O8" s="352">
        <f ca="1">E31</f>
        <v>1929.3021369863013</v>
      </c>
      <c r="P8" s="352">
        <f ca="1">J31</f>
        <v>2042.238575342466</v>
      </c>
      <c r="Q8" s="352">
        <f ca="1">G31</f>
        <v>1986.8837808219178</v>
      </c>
      <c r="R8" s="352">
        <f ca="1">H31</f>
        <v>2060.7240547945203</v>
      </c>
      <c r="T8" s="201">
        <v>43444</v>
      </c>
      <c r="U8">
        <v>1730</v>
      </c>
      <c r="V8">
        <v>1739</v>
      </c>
      <c r="Y8">
        <v>1749</v>
      </c>
    </row>
    <row r="9" spans="1:27" ht="16.5">
      <c r="A9" s="541" t="s">
        <v>491</v>
      </c>
      <c r="B9" s="523">
        <v>27.2</v>
      </c>
      <c r="C9" s="610"/>
      <c r="D9" s="298" t="s">
        <v>400</v>
      </c>
      <c r="E9" s="298" t="str">
        <f>LOOKUP(2,1/(价格!$AH:$AH&lt;&gt;0),价格!$AH:$AH)</f>
        <v>停收</v>
      </c>
      <c r="F9" s="379"/>
      <c r="G9" s="298">
        <f>LOOKUP(2,1/(价格!$X:$X&lt;&gt;0),价格!$X:$X)</f>
        <v>1630</v>
      </c>
      <c r="H9" s="298" t="str">
        <f>LOOKUP(2,1/(价格!$AE:$AE&lt;&gt;0),价格!$AE:$AE)</f>
        <v>停收</v>
      </c>
      <c r="I9" s="298">
        <f>LOOKUP(2,1/(价格!$AW:$AW&lt;&gt;0),价格!$AW:$AW)</f>
        <v>1730</v>
      </c>
      <c r="J9" s="298">
        <f>LOOKUP(2,1/(价格!$AT:$AT&lt;&gt;0),价格!$AT:$AT)</f>
        <v>1720</v>
      </c>
      <c r="L9" s="602"/>
      <c r="M9" s="334" t="str">
        <f t="shared" ref="M9:N11" si="4">D32</f>
        <v>期货价格</v>
      </c>
      <c r="N9" s="598">
        <f t="shared" si="4"/>
        <v>1874</v>
      </c>
      <c r="O9" s="598"/>
      <c r="P9" s="598"/>
      <c r="Q9" s="598"/>
      <c r="R9" s="598"/>
      <c r="T9" s="201">
        <v>43445</v>
      </c>
      <c r="U9" s="346">
        <v>1730</v>
      </c>
      <c r="V9" s="346">
        <v>1739</v>
      </c>
      <c r="Y9">
        <v>1710</v>
      </c>
      <c r="Z9" s="347">
        <v>1710</v>
      </c>
    </row>
    <row r="10" spans="1:27" s="309" customFormat="1" ht="17.25" thickBot="1">
      <c r="A10" s="525" t="s">
        <v>492</v>
      </c>
      <c r="B10" s="542">
        <f ca="1">B6+B9+0.2*B7+0.6*B8</f>
        <v>36.188602739726029</v>
      </c>
      <c r="C10" s="610"/>
      <c r="D10" s="298" t="s">
        <v>410</v>
      </c>
      <c r="E10" s="298">
        <f>INDEX(价格!$AH:$AH, COUNTA(价格!$A:$A)+1)-INDEX(价格!$AH:$AH, COUNTA(价格!$A:$A))</f>
        <v>0</v>
      </c>
      <c r="F10" s="379"/>
      <c r="G10" s="298">
        <f>INDEX(价格!$X:$X, COUNTA(价格!$A:$A)+1)-INDEX(价格!$X:$X, COUNTA(价格!$A:$A))</f>
        <v>0</v>
      </c>
      <c r="H10" s="298">
        <f>INDEX(价格!$AE:$AE, COUNTA(价格!$A:$A)+1)-INDEX(价格!$AE:$AE, COUNTA(价格!$A:$A))</f>
        <v>0</v>
      </c>
      <c r="I10" s="298">
        <f>INDEX(价格!$AW:$AW, COUNTA(价格!$A:$A)+1)-INDEX(价格!$AW:$AW, COUNTA(价格!$A:$A))</f>
        <v>0</v>
      </c>
      <c r="J10" s="298">
        <f>INDEX(价格!$AT:$AT, COUNTA(价格!$A:$A)+1)-INDEX(价格!$AT:$AT, COUNTA(价格!$A:$A))</f>
        <v>0</v>
      </c>
      <c r="L10" s="602"/>
      <c r="M10" s="333" t="str">
        <f t="shared" si="4"/>
        <v>较昨日变化</v>
      </c>
      <c r="N10" s="597">
        <f t="shared" si="4"/>
        <v>0</v>
      </c>
      <c r="O10" s="597"/>
      <c r="P10" s="597"/>
      <c r="Q10" s="597"/>
      <c r="R10" s="597"/>
      <c r="T10" s="201">
        <v>43446</v>
      </c>
      <c r="U10" s="309">
        <v>1730</v>
      </c>
      <c r="V10" s="309">
        <v>1739</v>
      </c>
      <c r="Y10" s="309">
        <v>1710</v>
      </c>
      <c r="Z10" s="347">
        <v>1710</v>
      </c>
    </row>
    <row r="11" spans="1:27" ht="17.25" thickTop="1">
      <c r="A11" s="526" t="s">
        <v>474</v>
      </c>
      <c r="B11" s="527">
        <f>INDEX(价格!$D:$D, COUNTA(价格!$A:$A)+1)</f>
        <v>1810</v>
      </c>
      <c r="C11" s="611" t="s">
        <v>113</v>
      </c>
      <c r="D11" s="184" t="s">
        <v>367</v>
      </c>
      <c r="E11" s="184">
        <f>10+12+50</f>
        <v>72</v>
      </c>
      <c r="F11" s="378">
        <f>3+10+15+50</f>
        <v>78</v>
      </c>
      <c r="G11" s="184">
        <v>0</v>
      </c>
      <c r="H11" s="353">
        <f>20+10+50</f>
        <v>80</v>
      </c>
      <c r="I11" s="353">
        <f>50+6+15+8.4</f>
        <v>79.400000000000006</v>
      </c>
      <c r="J11" s="353">
        <f>3+20+8.4+50</f>
        <v>81.400000000000006</v>
      </c>
      <c r="L11" s="602"/>
      <c r="M11" s="335" t="str">
        <f t="shared" si="4"/>
        <v>交割价差</v>
      </c>
      <c r="N11" s="332">
        <f ca="1">I34</f>
        <v>-92.988438356164579</v>
      </c>
      <c r="O11" s="332">
        <f ca="1">E34</f>
        <v>-55.302136986301321</v>
      </c>
      <c r="P11" s="332">
        <f ca="1">J34</f>
        <v>-168.23857534246599</v>
      </c>
      <c r="Q11" s="332">
        <f ca="1">G34</f>
        <v>-112.88378082191775</v>
      </c>
      <c r="R11" s="332">
        <f ca="1">H34</f>
        <v>-186.72405479452027</v>
      </c>
      <c r="T11" s="201">
        <v>43447</v>
      </c>
      <c r="U11" s="349">
        <v>1730</v>
      </c>
      <c r="V11" s="349">
        <v>1716</v>
      </c>
      <c r="Y11" s="349">
        <v>1710</v>
      </c>
      <c r="Z11" s="349">
        <v>1710</v>
      </c>
    </row>
    <row r="12" spans="1:27" ht="16.5">
      <c r="A12" s="348" t="s">
        <v>478</v>
      </c>
      <c r="B12" s="348">
        <v>1914</v>
      </c>
      <c r="C12" s="611"/>
      <c r="D12" s="184" t="s">
        <v>368</v>
      </c>
      <c r="E12" s="184">
        <v>150</v>
      </c>
      <c r="F12" s="378">
        <v>140</v>
      </c>
      <c r="G12" s="184">
        <v>86</v>
      </c>
      <c r="H12" s="184">
        <v>133</v>
      </c>
      <c r="I12" s="184">
        <v>85</v>
      </c>
      <c r="J12" s="184">
        <v>75</v>
      </c>
      <c r="L12" s="600" t="str">
        <f t="shared" ref="L12" si="5">C5</f>
        <v>东北深加工</v>
      </c>
      <c r="M12" s="322" t="str">
        <f t="shared" ref="M12:N14" si="6">D5</f>
        <v>企业</v>
      </c>
      <c r="N12" s="322" t="str">
        <f t="shared" si="6"/>
        <v>依安鹏程</v>
      </c>
      <c r="O12" s="322" t="str">
        <f t="shared" ref="O12:P14" si="7">G5</f>
        <v>中粮龙江</v>
      </c>
      <c r="P12" s="322" t="str">
        <f t="shared" si="7"/>
        <v>青冈龙凤</v>
      </c>
      <c r="Q12" s="322" t="str">
        <f>J5</f>
        <v>松原嘉吉</v>
      </c>
      <c r="R12" s="603" t="s">
        <v>463</v>
      </c>
      <c r="T12" s="201">
        <v>43448</v>
      </c>
      <c r="U12" s="351">
        <v>1730</v>
      </c>
      <c r="V12" s="351">
        <v>1716</v>
      </c>
      <c r="Y12" s="351">
        <v>1710</v>
      </c>
      <c r="Z12" s="351">
        <v>1710</v>
      </c>
    </row>
    <row r="13" spans="1:27" ht="16.5">
      <c r="A13" s="309" t="s">
        <v>475</v>
      </c>
      <c r="B13" s="201">
        <f ca="1">TODAY()</f>
        <v>43579</v>
      </c>
      <c r="C13" s="611"/>
      <c r="D13" s="184" t="s">
        <v>369</v>
      </c>
      <c r="E13" s="184">
        <v>15</v>
      </c>
      <c r="F13" s="378">
        <v>15</v>
      </c>
      <c r="G13" s="184">
        <v>15</v>
      </c>
      <c r="H13" s="184">
        <v>15</v>
      </c>
      <c r="I13" s="184">
        <v>15</v>
      </c>
      <c r="J13" s="184">
        <v>15</v>
      </c>
      <c r="L13" s="600"/>
      <c r="M13" s="327" t="str">
        <f t="shared" si="6"/>
        <v>干粮价</v>
      </c>
      <c r="N13" s="327">
        <f t="shared" si="6"/>
        <v>1610</v>
      </c>
      <c r="O13" s="327">
        <f t="shared" si="7"/>
        <v>1620</v>
      </c>
      <c r="P13" s="327">
        <f t="shared" si="7"/>
        <v>1700</v>
      </c>
      <c r="Q13" s="327">
        <f>J6</f>
        <v>1690</v>
      </c>
      <c r="R13" s="604"/>
      <c r="T13" s="201">
        <v>43451</v>
      </c>
      <c r="U13" s="354">
        <v>1730</v>
      </c>
      <c r="V13" s="354">
        <v>1716</v>
      </c>
      <c r="Y13" s="354">
        <v>1710</v>
      </c>
      <c r="Z13" s="354">
        <v>1710</v>
      </c>
    </row>
    <row r="14" spans="1:27" ht="15" customHeight="1">
      <c r="A14" s="302" t="s">
        <v>476</v>
      </c>
      <c r="B14" s="201">
        <v>43713</v>
      </c>
      <c r="C14" s="611"/>
      <c r="D14" s="293" t="s">
        <v>390</v>
      </c>
      <c r="E14" s="317">
        <f t="shared" ref="E14:J14" si="8">E3+E11+E12+E13</f>
        <v>1887</v>
      </c>
      <c r="F14" s="317">
        <f t="shared" si="8"/>
        <v>1894</v>
      </c>
      <c r="G14" s="317">
        <f t="shared" si="8"/>
        <v>1944</v>
      </c>
      <c r="H14" s="317">
        <f t="shared" si="8"/>
        <v>2018</v>
      </c>
      <c r="I14" s="317">
        <f t="shared" si="8"/>
        <v>1924.4</v>
      </c>
      <c r="J14" s="317">
        <f t="shared" si="8"/>
        <v>1999.4</v>
      </c>
      <c r="L14" s="600"/>
      <c r="M14" s="327" t="str">
        <f t="shared" si="6"/>
        <v>较昨日变化</v>
      </c>
      <c r="N14" s="328">
        <f t="shared" si="6"/>
        <v>0</v>
      </c>
      <c r="O14" s="328">
        <f t="shared" si="7"/>
        <v>0</v>
      </c>
      <c r="P14" s="328">
        <f t="shared" si="7"/>
        <v>0</v>
      </c>
      <c r="Q14" s="328">
        <f>J7</f>
        <v>0</v>
      </c>
      <c r="R14" s="604"/>
      <c r="T14" s="201">
        <v>43452</v>
      </c>
      <c r="U14" s="355">
        <v>1730</v>
      </c>
      <c r="V14" s="355">
        <v>1716</v>
      </c>
      <c r="Y14" s="355">
        <v>1710</v>
      </c>
      <c r="Z14" s="355">
        <v>1710</v>
      </c>
    </row>
    <row r="15" spans="1:27" ht="16.5">
      <c r="A15" s="348" t="s">
        <v>477</v>
      </c>
      <c r="B15" s="348">
        <v>1919</v>
      </c>
      <c r="C15" s="611"/>
      <c r="D15" s="294" t="s">
        <v>412</v>
      </c>
      <c r="E15" s="592">
        <f>INDEX(价格!$B:$B, COUNTA(价格!$A:$A)+1)</f>
        <v>1810</v>
      </c>
      <c r="F15" s="593"/>
      <c r="G15" s="593"/>
      <c r="H15" s="593"/>
      <c r="I15" s="593"/>
      <c r="J15" s="594"/>
      <c r="L15" s="600"/>
      <c r="M15" s="322" t="str">
        <f>D8</f>
        <v>企业</v>
      </c>
      <c r="N15" s="322" t="str">
        <f t="shared" ref="N15:O17" si="9">G8</f>
        <v>中粮肇东</v>
      </c>
      <c r="O15" s="322" t="str">
        <f t="shared" si="9"/>
        <v>北安象屿</v>
      </c>
      <c r="P15" s="322" t="str">
        <f>J8</f>
        <v>开原益海</v>
      </c>
      <c r="Q15" s="322" t="str">
        <f>I8</f>
        <v>通辽梅花</v>
      </c>
      <c r="R15" s="604"/>
      <c r="T15" s="201">
        <v>43453</v>
      </c>
      <c r="U15" s="358">
        <v>1730</v>
      </c>
      <c r="V15" s="358">
        <v>1716</v>
      </c>
      <c r="Y15" s="358">
        <v>1710</v>
      </c>
      <c r="Z15" s="358">
        <v>1710</v>
      </c>
    </row>
    <row r="16" spans="1:27" s="309" customFormat="1" ht="16.5">
      <c r="A16" s="520" t="s">
        <v>479</v>
      </c>
      <c r="B16" s="523">
        <f ca="1">(B11+B12*0.2)*0.08*(B14-B13-1)/365</f>
        <v>63.921621917808217</v>
      </c>
      <c r="C16" s="611"/>
      <c r="D16" s="294" t="s">
        <v>410</v>
      </c>
      <c r="E16" s="592">
        <f>E15-INDEX(价格!$B:$B, COUNTA(价格!$A:$A))</f>
        <v>10</v>
      </c>
      <c r="F16" s="593"/>
      <c r="G16" s="593"/>
      <c r="H16" s="593"/>
      <c r="I16" s="593"/>
      <c r="J16" s="594"/>
      <c r="L16" s="600"/>
      <c r="M16" s="327" t="str">
        <f>D9</f>
        <v>干粮价</v>
      </c>
      <c r="N16" s="327">
        <f t="shared" si="9"/>
        <v>1630</v>
      </c>
      <c r="O16" s="327" t="str">
        <f t="shared" si="9"/>
        <v>停收</v>
      </c>
      <c r="P16" s="327">
        <f>J9</f>
        <v>1720</v>
      </c>
      <c r="Q16" s="327">
        <f>I9</f>
        <v>1730</v>
      </c>
      <c r="R16" s="604"/>
      <c r="T16" s="201">
        <v>43454</v>
      </c>
      <c r="U16" s="368">
        <v>1730</v>
      </c>
      <c r="V16" s="368">
        <v>1716</v>
      </c>
      <c r="Y16" s="368">
        <v>1710</v>
      </c>
      <c r="Z16" s="368">
        <v>1710</v>
      </c>
    </row>
    <row r="17" spans="1:27" ht="16.5">
      <c r="A17" s="302" t="s">
        <v>493</v>
      </c>
      <c r="B17">
        <f ca="1">MIN(B14-B13-5,MAX(20,(B14-B13)/2))</f>
        <v>67</v>
      </c>
      <c r="C17" s="595" t="s">
        <v>385</v>
      </c>
      <c r="D17" s="298" t="s">
        <v>130</v>
      </c>
      <c r="E17" s="298" t="s">
        <v>405</v>
      </c>
      <c r="F17" s="379"/>
      <c r="G17" s="298" t="s">
        <v>406</v>
      </c>
      <c r="H17" s="298" t="s">
        <v>407</v>
      </c>
      <c r="I17" s="298" t="s">
        <v>239</v>
      </c>
      <c r="J17" s="298" t="s">
        <v>408</v>
      </c>
      <c r="L17" s="600"/>
      <c r="M17" s="329" t="str">
        <f>D10</f>
        <v>较昨日变化</v>
      </c>
      <c r="N17" s="331">
        <f t="shared" si="9"/>
        <v>0</v>
      </c>
      <c r="O17" s="331">
        <f t="shared" si="9"/>
        <v>0</v>
      </c>
      <c r="P17" s="331">
        <f>J10</f>
        <v>0</v>
      </c>
      <c r="Q17" s="331">
        <f>I10</f>
        <v>0</v>
      </c>
      <c r="R17" s="605"/>
      <c r="T17" s="201">
        <v>43455</v>
      </c>
      <c r="U17" s="369">
        <v>1730</v>
      </c>
      <c r="V17" s="369">
        <v>1716</v>
      </c>
      <c r="Y17" s="369">
        <v>1710</v>
      </c>
      <c r="Z17" s="369">
        <v>1710</v>
      </c>
    </row>
    <row r="18" spans="1:27" ht="16.5">
      <c r="A18" s="302" t="s">
        <v>494</v>
      </c>
      <c r="B18" s="302">
        <f ca="1">MIN(B14-B13,5)</f>
        <v>5</v>
      </c>
      <c r="C18" s="595"/>
      <c r="D18" s="298" t="s">
        <v>386</v>
      </c>
      <c r="E18" s="298">
        <f>LOOKUP(2,1/(价格!$AY:$AY&lt;&gt;0),价格!$AY:$AY)</f>
        <v>1850</v>
      </c>
      <c r="F18" s="379"/>
      <c r="G18" s="298">
        <f>LOOKUP(2,1/(价格!$BC:$BC&lt;&gt;0),价格!$BC:$BC)</f>
        <v>1970</v>
      </c>
      <c r="H18" s="298">
        <f>LOOKUP(2,1/(价格!$BA:$BA&lt;&gt;0),价格!$BA:$BA)</f>
        <v>1898</v>
      </c>
      <c r="I18" s="298">
        <f>LOOKUP(2,1/(价格!$BD:$BD&lt;&gt;0),价格!$BD:$BD)</f>
        <v>1970</v>
      </c>
      <c r="J18" s="298">
        <f>LOOKUP(2,1/(价格!$BE:$BE&lt;&gt;0),价格!$BE:$BE)</f>
        <v>1940</v>
      </c>
      <c r="L18" s="595" t="str">
        <f>C17</f>
        <v>华北深加工</v>
      </c>
      <c r="M18" s="325" t="str">
        <f>D17</f>
        <v>企业</v>
      </c>
      <c r="N18" s="325" t="str">
        <f>E17</f>
        <v>秦皇岛骊骅</v>
      </c>
      <c r="O18" s="325" t="str">
        <f>G17</f>
        <v>诸城兴贸</v>
      </c>
      <c r="P18" s="325" t="str">
        <f>H17</f>
        <v>寿光金</v>
      </c>
      <c r="Q18" s="325" t="str">
        <f>J17</f>
        <v>滨州西王</v>
      </c>
      <c r="R18" s="325" t="str">
        <f>I17</f>
        <v>英轩酒精</v>
      </c>
      <c r="T18" s="201">
        <v>43458</v>
      </c>
      <c r="U18">
        <v>1691</v>
      </c>
      <c r="Y18" s="380">
        <v>1710</v>
      </c>
      <c r="Z18" s="380">
        <v>1710</v>
      </c>
      <c r="AA18">
        <v>1661</v>
      </c>
    </row>
    <row r="19" spans="1:27" s="309" customFormat="1" ht="16.5">
      <c r="A19" s="309" t="s">
        <v>495</v>
      </c>
      <c r="B19" s="523">
        <v>27.2</v>
      </c>
      <c r="C19" s="595"/>
      <c r="D19" s="298" t="s">
        <v>410</v>
      </c>
      <c r="E19" s="298">
        <f>E18-INDEX(价格!$AY:$AY, COUNTA(价格!$A:$A))</f>
        <v>0</v>
      </c>
      <c r="F19" s="379"/>
      <c r="G19" s="325">
        <f>G18-INDEX(价格!$BC:$BC, COUNTA(价格!$A:$A))</f>
        <v>10</v>
      </c>
      <c r="H19" s="325">
        <f>H18-INDEX(价格!$BA:$BA, COUNTA(价格!$A:$A))</f>
        <v>-7</v>
      </c>
      <c r="I19" s="325">
        <f>I18-INDEX(价格!$BD:$BD, COUNTA(价格!$A:$A))</f>
        <v>0</v>
      </c>
      <c r="J19" s="325">
        <f>J18-INDEX(价格!$BE:$BE, COUNTA(价格!$A:$A))</f>
        <v>0</v>
      </c>
      <c r="L19" s="595"/>
      <c r="M19" s="330" t="str">
        <f>D18</f>
        <v>价格</v>
      </c>
      <c r="N19" s="330">
        <f>E18</f>
        <v>1850</v>
      </c>
      <c r="O19" s="330">
        <f t="shared" ref="O19:P20" si="10">G18</f>
        <v>1970</v>
      </c>
      <c r="P19" s="330">
        <f t="shared" si="10"/>
        <v>1898</v>
      </c>
      <c r="Q19" s="330">
        <f>J18</f>
        <v>1940</v>
      </c>
      <c r="R19" s="330">
        <f>I18</f>
        <v>1970</v>
      </c>
      <c r="T19" s="201">
        <v>43459</v>
      </c>
      <c r="U19" s="309">
        <v>1666</v>
      </c>
      <c r="Y19" s="381">
        <v>1710</v>
      </c>
      <c r="Z19" s="381">
        <v>1710</v>
      </c>
      <c r="AA19" s="381">
        <v>1661</v>
      </c>
    </row>
    <row r="20" spans="1:27" ht="16.5">
      <c r="A20" s="302"/>
      <c r="B20" s="523">
        <f ca="1">B16+B19+0.2*B17+0.6*B18</f>
        <v>107.52162191780822</v>
      </c>
      <c r="C20" s="609" t="s">
        <v>370</v>
      </c>
      <c r="D20" s="184" t="s">
        <v>371</v>
      </c>
      <c r="E20" s="184">
        <v>4</v>
      </c>
      <c r="F20" s="378">
        <v>4</v>
      </c>
      <c r="G20" s="184">
        <v>4</v>
      </c>
      <c r="H20" s="184">
        <v>4</v>
      </c>
      <c r="I20" s="184">
        <v>4</v>
      </c>
      <c r="J20" s="184">
        <v>4</v>
      </c>
      <c r="L20" s="595"/>
      <c r="M20" s="333" t="str">
        <f>D19</f>
        <v>较昨日变化</v>
      </c>
      <c r="N20" s="331">
        <f>E19</f>
        <v>0</v>
      </c>
      <c r="O20" s="331">
        <f t="shared" si="10"/>
        <v>10</v>
      </c>
      <c r="P20" s="331">
        <f t="shared" si="10"/>
        <v>-7</v>
      </c>
      <c r="Q20" s="331">
        <f>J19</f>
        <v>0</v>
      </c>
      <c r="R20" s="331">
        <f>I19</f>
        <v>0</v>
      </c>
      <c r="T20" s="201">
        <v>43460</v>
      </c>
      <c r="U20" s="384"/>
      <c r="Y20" s="384">
        <v>1710</v>
      </c>
      <c r="Z20" s="384">
        <v>1710</v>
      </c>
      <c r="AA20" s="384">
        <v>1661</v>
      </c>
    </row>
    <row r="21" spans="1:27" ht="16.5">
      <c r="A21" s="302"/>
      <c r="B21" s="302"/>
      <c r="C21" s="609"/>
      <c r="D21" s="184" t="s">
        <v>372</v>
      </c>
      <c r="E21" s="184">
        <v>5</v>
      </c>
      <c r="F21" s="378">
        <v>5</v>
      </c>
      <c r="G21" s="184">
        <v>5</v>
      </c>
      <c r="H21" s="184">
        <v>5</v>
      </c>
      <c r="I21" s="184">
        <v>5</v>
      </c>
      <c r="J21" s="184">
        <v>5</v>
      </c>
      <c r="L21" s="590" t="str">
        <f>C35</f>
        <v>南港</v>
      </c>
      <c r="M21" s="321" t="str">
        <f>D35</f>
        <v>港口</v>
      </c>
      <c r="N21" s="321" t="str">
        <f>E35</f>
        <v>蛇口</v>
      </c>
      <c r="O21" s="321" t="str">
        <f t="shared" ref="O21:Q21" si="11">G35</f>
        <v>钦州</v>
      </c>
      <c r="P21" s="321" t="str">
        <f t="shared" si="11"/>
        <v>漳州</v>
      </c>
      <c r="Q21" s="321" t="str">
        <f t="shared" si="11"/>
        <v>南通</v>
      </c>
      <c r="R21" s="591" t="s">
        <v>462</v>
      </c>
      <c r="T21" s="201">
        <v>43461</v>
      </c>
      <c r="Y21" s="387">
        <v>1710</v>
      </c>
      <c r="Z21" s="387">
        <v>1710</v>
      </c>
      <c r="AA21" s="387">
        <v>1661</v>
      </c>
    </row>
    <row r="22" spans="1:27" ht="16.5">
      <c r="A22" s="309"/>
      <c r="B22" s="309"/>
      <c r="C22" s="609"/>
      <c r="D22" s="184" t="s">
        <v>373</v>
      </c>
      <c r="E22" s="295">
        <f ca="1">E3*0.1*($B$4-$B$3)/365</f>
        <v>4.9726027397260273</v>
      </c>
      <c r="F22" s="295">
        <f t="shared" ref="F22:J22" ca="1" si="12">F3*0.1*($B$4-$B$3)/365</f>
        <v>5.0057534246575353</v>
      </c>
      <c r="G22" s="295">
        <f t="shared" ca="1" si="12"/>
        <v>5.5542465753424661</v>
      </c>
      <c r="H22" s="295">
        <f t="shared" ca="1" si="12"/>
        <v>5.3945205479452056</v>
      </c>
      <c r="I22" s="295">
        <f t="shared" ca="1" si="12"/>
        <v>5.2589041095890412</v>
      </c>
      <c r="J22" s="295">
        <f t="shared" ca="1" si="12"/>
        <v>5.509041095890411</v>
      </c>
      <c r="L22" s="590"/>
      <c r="M22" s="330" t="str">
        <f t="shared" ref="M22:N25" si="13">D36</f>
        <v>散船运费</v>
      </c>
      <c r="N22" s="330">
        <f t="shared" si="13"/>
        <v>42</v>
      </c>
      <c r="O22" s="330">
        <f t="shared" ref="O22:Q25" si="14">G36</f>
        <v>53</v>
      </c>
      <c r="P22" s="330">
        <f t="shared" si="14"/>
        <v>40</v>
      </c>
      <c r="Q22" s="330">
        <f t="shared" si="14"/>
        <v>39</v>
      </c>
      <c r="R22" s="591"/>
      <c r="T22" s="201">
        <v>43462</v>
      </c>
      <c r="Y22" s="388">
        <v>1710</v>
      </c>
      <c r="Z22" s="388">
        <v>1710</v>
      </c>
      <c r="AA22" s="388">
        <v>1661</v>
      </c>
    </row>
    <row r="23" spans="1:27" ht="16.5">
      <c r="A23" s="302"/>
      <c r="B23" s="302"/>
      <c r="C23" s="609"/>
      <c r="D23" s="184" t="s">
        <v>374</v>
      </c>
      <c r="E23" s="295">
        <f ca="1">$E$32*0.2*0.1*($B$4-$B$3)/365</f>
        <v>1.1295342465753426</v>
      </c>
      <c r="F23" s="295">
        <f ca="1">$E$32*0.2*0.1*($B$4-$B$3)/365</f>
        <v>1.1295342465753426</v>
      </c>
      <c r="G23" s="295">
        <f t="shared" ref="G23:J23" ca="1" si="15">$E$32*0.2*0.1*($B$4-$B$3)/365</f>
        <v>1.1295342465753426</v>
      </c>
      <c r="H23" s="295">
        <f t="shared" ca="1" si="15"/>
        <v>1.1295342465753426</v>
      </c>
      <c r="I23" s="295">
        <f t="shared" ca="1" si="15"/>
        <v>1.1295342465753426</v>
      </c>
      <c r="J23" s="295">
        <f t="shared" ca="1" si="15"/>
        <v>1.1295342465753426</v>
      </c>
      <c r="L23" s="590"/>
      <c r="M23" s="330" t="str">
        <f t="shared" si="13"/>
        <v>价格</v>
      </c>
      <c r="N23" s="330">
        <f t="shared" si="13"/>
        <v>1930</v>
      </c>
      <c r="O23" s="330">
        <f t="shared" si="14"/>
        <v>1930</v>
      </c>
      <c r="P23" s="330">
        <f t="shared" si="14"/>
        <v>1940</v>
      </c>
      <c r="Q23" s="330">
        <f t="shared" si="14"/>
        <v>1930</v>
      </c>
      <c r="R23" s="591"/>
      <c r="S23" s="336"/>
      <c r="T23" s="201">
        <v>43486</v>
      </c>
      <c r="Y23" s="412">
        <v>1710</v>
      </c>
      <c r="Z23" s="412">
        <v>1710</v>
      </c>
    </row>
    <row r="24" spans="1:27" ht="16.5">
      <c r="A24" s="302"/>
      <c r="B24" s="302"/>
      <c r="C24" s="609"/>
      <c r="D24" s="184" t="s">
        <v>375</v>
      </c>
      <c r="E24" s="295">
        <f t="shared" ref="E24:J24" ca="1" si="16">SUM(E20:E23)</f>
        <v>15.102136986301371</v>
      </c>
      <c r="F24" s="295">
        <f t="shared" ca="1" si="16"/>
        <v>15.135287671232877</v>
      </c>
      <c r="G24" s="295">
        <f t="shared" ca="1" si="16"/>
        <v>15.683780821917809</v>
      </c>
      <c r="H24" s="295">
        <f t="shared" ca="1" si="16"/>
        <v>15.524054794520548</v>
      </c>
      <c r="I24" s="295">
        <f t="shared" ca="1" si="16"/>
        <v>15.388438356164384</v>
      </c>
      <c r="J24" s="295">
        <f t="shared" ca="1" si="16"/>
        <v>15.638575342465753</v>
      </c>
      <c r="L24" s="590"/>
      <c r="M24" s="333" t="str">
        <f t="shared" si="13"/>
        <v>较昨日变化</v>
      </c>
      <c r="N24" s="331">
        <f t="shared" si="13"/>
        <v>10</v>
      </c>
      <c r="O24" s="331">
        <f t="shared" si="14"/>
        <v>0</v>
      </c>
      <c r="P24" s="331">
        <f t="shared" si="14"/>
        <v>10</v>
      </c>
      <c r="Q24" s="331">
        <f t="shared" si="14"/>
        <v>10</v>
      </c>
      <c r="R24" s="591"/>
      <c r="T24" s="201">
        <v>43487</v>
      </c>
      <c r="Y24" s="421">
        <v>1710</v>
      </c>
      <c r="Z24" s="421">
        <v>1710</v>
      </c>
    </row>
    <row r="25" spans="1:27" ht="17.25">
      <c r="A25" s="302"/>
      <c r="B25" s="302"/>
      <c r="C25" s="609" t="s">
        <v>376</v>
      </c>
      <c r="D25" s="184" t="s">
        <v>377</v>
      </c>
      <c r="E25" s="184">
        <v>20</v>
      </c>
      <c r="F25" s="378">
        <v>20</v>
      </c>
      <c r="G25" s="184">
        <v>20</v>
      </c>
      <c r="H25" s="184">
        <v>20</v>
      </c>
      <c r="I25" s="184">
        <v>20</v>
      </c>
      <c r="J25" s="184">
        <v>20</v>
      </c>
      <c r="L25" s="590"/>
      <c r="M25" s="330" t="str">
        <f t="shared" si="13"/>
        <v>南北发运利润</v>
      </c>
      <c r="N25" s="258">
        <f t="shared" si="13"/>
        <v>-12</v>
      </c>
      <c r="O25" s="258">
        <f t="shared" si="14"/>
        <v>-23</v>
      </c>
      <c r="P25" s="258">
        <f t="shared" si="14"/>
        <v>0</v>
      </c>
      <c r="Q25" s="258">
        <f t="shared" si="14"/>
        <v>-9</v>
      </c>
      <c r="R25" s="591"/>
      <c r="T25" s="201">
        <v>43488</v>
      </c>
      <c r="Y25" s="421">
        <v>1710</v>
      </c>
      <c r="Z25" s="421">
        <v>1710</v>
      </c>
    </row>
    <row r="26" spans="1:27" ht="16.5" customHeight="1">
      <c r="A26" s="302"/>
      <c r="B26" s="302"/>
      <c r="C26" s="609"/>
      <c r="D26" s="184" t="s">
        <v>378</v>
      </c>
      <c r="E26" s="184">
        <v>5</v>
      </c>
      <c r="F26" s="378">
        <v>5</v>
      </c>
      <c r="G26" s="184">
        <v>5</v>
      </c>
      <c r="H26" s="184">
        <v>5</v>
      </c>
      <c r="I26" s="184">
        <v>5</v>
      </c>
      <c r="J26" s="184">
        <v>5</v>
      </c>
      <c r="L26" s="589" t="s">
        <v>464</v>
      </c>
      <c r="M26" s="589"/>
      <c r="N26" s="589"/>
      <c r="O26" s="589"/>
      <c r="P26" s="589"/>
      <c r="Q26" s="589"/>
      <c r="R26" s="589"/>
      <c r="T26" s="201">
        <v>43489</v>
      </c>
      <c r="Y26" s="421">
        <v>1710</v>
      </c>
      <c r="Z26" s="421">
        <v>1710</v>
      </c>
    </row>
    <row r="27" spans="1:27" ht="16.5">
      <c r="A27" s="302"/>
      <c r="B27" s="302"/>
      <c r="C27" s="609"/>
      <c r="D27" s="184" t="s">
        <v>379</v>
      </c>
      <c r="E27" s="184">
        <v>1</v>
      </c>
      <c r="F27" s="378">
        <v>1</v>
      </c>
      <c r="G27" s="184">
        <v>1</v>
      </c>
      <c r="H27" s="184">
        <v>1</v>
      </c>
      <c r="I27" s="184">
        <v>1</v>
      </c>
      <c r="J27" s="184">
        <v>1</v>
      </c>
      <c r="L27" s="589"/>
      <c r="M27" s="589"/>
      <c r="N27" s="589"/>
      <c r="O27" s="589"/>
      <c r="P27" s="589"/>
      <c r="Q27" s="589"/>
      <c r="R27" s="589"/>
    </row>
    <row r="28" spans="1:27" ht="16.5">
      <c r="A28" s="302"/>
      <c r="B28" s="302"/>
      <c r="C28" s="609"/>
      <c r="D28" s="184" t="s">
        <v>380</v>
      </c>
      <c r="E28" s="184">
        <v>1</v>
      </c>
      <c r="F28" s="378">
        <v>1</v>
      </c>
      <c r="G28" s="184">
        <v>1</v>
      </c>
      <c r="H28" s="184">
        <v>1</v>
      </c>
      <c r="I28" s="184">
        <v>1</v>
      </c>
      <c r="J28" s="184">
        <v>1</v>
      </c>
      <c r="L28" s="589"/>
      <c r="M28" s="589"/>
      <c r="N28" s="589"/>
      <c r="O28" s="589"/>
      <c r="P28" s="589"/>
      <c r="Q28" s="589"/>
      <c r="R28" s="589"/>
    </row>
    <row r="29" spans="1:27" ht="16.5">
      <c r="A29" s="302"/>
      <c r="B29" s="302"/>
      <c r="C29" s="609"/>
      <c r="D29" s="184" t="s">
        <v>381</v>
      </c>
      <c r="E29" s="184">
        <v>0.2</v>
      </c>
      <c r="F29" s="378">
        <v>0.2</v>
      </c>
      <c r="G29" s="184">
        <v>0.2</v>
      </c>
      <c r="H29" s="184">
        <v>0.2</v>
      </c>
      <c r="I29" s="184">
        <v>0.2</v>
      </c>
      <c r="J29" s="184">
        <v>0.2</v>
      </c>
      <c r="L29" s="589"/>
      <c r="M29" s="589"/>
      <c r="N29" s="589"/>
      <c r="O29" s="589"/>
      <c r="P29" s="589"/>
      <c r="Q29" s="589"/>
      <c r="R29" s="589"/>
    </row>
    <row r="30" spans="1:27" ht="16.5">
      <c r="A30" s="302"/>
      <c r="B30" s="302"/>
      <c r="C30" s="609"/>
      <c r="D30" s="184" t="s">
        <v>382</v>
      </c>
      <c r="E30" s="184">
        <f t="shared" ref="E30:J30" si="17">SUM(E25:E29)</f>
        <v>27.2</v>
      </c>
      <c r="F30" s="378">
        <f t="shared" si="17"/>
        <v>27.2</v>
      </c>
      <c r="G30" s="184">
        <f t="shared" si="17"/>
        <v>27.2</v>
      </c>
      <c r="H30" s="184">
        <f t="shared" si="17"/>
        <v>27.2</v>
      </c>
      <c r="I30" s="184">
        <f t="shared" si="17"/>
        <v>27.2</v>
      </c>
      <c r="J30" s="184">
        <f t="shared" si="17"/>
        <v>27.2</v>
      </c>
      <c r="L30" s="589"/>
      <c r="M30" s="589"/>
      <c r="N30" s="589"/>
      <c r="O30" s="589"/>
      <c r="P30" s="589"/>
      <c r="Q30" s="589"/>
      <c r="R30" s="589"/>
    </row>
    <row r="31" spans="1:27" ht="15">
      <c r="A31" s="302"/>
      <c r="B31" s="302"/>
      <c r="C31" s="590" t="str">
        <f>A2</f>
        <v>期货1905</v>
      </c>
      <c r="D31" s="296" t="s">
        <v>402</v>
      </c>
      <c r="E31" s="297">
        <f t="shared" ref="E31:J31" ca="1" si="18">E14+E24+E30</f>
        <v>1929.3021369863013</v>
      </c>
      <c r="F31" s="297">
        <f t="shared" ca="1" si="18"/>
        <v>1936.3352876712329</v>
      </c>
      <c r="G31" s="297">
        <f t="shared" ca="1" si="18"/>
        <v>1986.8837808219178</v>
      </c>
      <c r="H31" s="297">
        <f t="shared" ca="1" si="18"/>
        <v>2060.7240547945203</v>
      </c>
      <c r="I31" s="297">
        <f t="shared" ca="1" si="18"/>
        <v>1966.9884383561646</v>
      </c>
      <c r="J31" s="297">
        <f t="shared" ca="1" si="18"/>
        <v>2042.238575342466</v>
      </c>
    </row>
    <row r="32" spans="1:27" ht="16.5">
      <c r="A32" s="302"/>
      <c r="B32" s="302"/>
      <c r="C32" s="590"/>
      <c r="D32" s="304" t="s">
        <v>360</v>
      </c>
      <c r="E32" s="615">
        <f>$B$2</f>
        <v>1874</v>
      </c>
      <c r="F32" s="616"/>
      <c r="G32" s="616"/>
      <c r="H32" s="616"/>
      <c r="I32" s="616"/>
      <c r="J32" s="617"/>
    </row>
    <row r="33" spans="1:18" s="309" customFormat="1" ht="16.5">
      <c r="A33" s="302"/>
      <c r="B33" s="302"/>
      <c r="C33" s="590"/>
      <c r="D33" s="304" t="s">
        <v>410</v>
      </c>
      <c r="E33" s="615">
        <f>B2-B5</f>
        <v>0</v>
      </c>
      <c r="F33" s="616"/>
      <c r="G33" s="616"/>
      <c r="H33" s="616"/>
      <c r="I33" s="616"/>
      <c r="J33" s="617"/>
      <c r="L33" s="627">
        <f ca="1">TODAY()</f>
        <v>43579</v>
      </c>
      <c r="M33" s="627"/>
      <c r="N33" s="627"/>
      <c r="O33" s="627"/>
      <c r="P33" s="627"/>
      <c r="Q33" s="627"/>
      <c r="R33" s="627"/>
    </row>
    <row r="34" spans="1:18" ht="21">
      <c r="A34" s="302"/>
      <c r="B34" s="302"/>
      <c r="C34" s="590"/>
      <c r="D34" s="305" t="s">
        <v>403</v>
      </c>
      <c r="E34" s="306">
        <f ca="1">$E$32-E31</f>
        <v>-55.302136986301321</v>
      </c>
      <c r="F34" s="306">
        <f ca="1">$E$32-F31</f>
        <v>-62.335287671232891</v>
      </c>
      <c r="G34" s="306">
        <f t="shared" ref="G34:I34" ca="1" si="19">$E$32-G31</f>
        <v>-112.88378082191775</v>
      </c>
      <c r="H34" s="306">
        <f t="shared" ca="1" si="19"/>
        <v>-186.72405479452027</v>
      </c>
      <c r="I34" s="306">
        <f t="shared" ca="1" si="19"/>
        <v>-92.988438356164579</v>
      </c>
      <c r="J34" s="306">
        <f ca="1">$E$32-J31</f>
        <v>-168.23857534246599</v>
      </c>
      <c r="L34" s="611" t="s">
        <v>465</v>
      </c>
      <c r="M34" s="521" t="s">
        <v>466</v>
      </c>
      <c r="N34" s="613">
        <f>B1</f>
        <v>1810</v>
      </c>
      <c r="O34" s="613"/>
      <c r="P34" s="330" t="s">
        <v>411</v>
      </c>
      <c r="Q34" s="597">
        <f>N34-INDEX(价格!$B:$B, COUNTA(价格!$A:$A))</f>
        <v>10</v>
      </c>
      <c r="R34" s="597"/>
    </row>
    <row r="35" spans="1:18" ht="16.5">
      <c r="A35" s="302"/>
      <c r="B35" s="302"/>
      <c r="C35" s="614" t="s">
        <v>391</v>
      </c>
      <c r="D35" s="132" t="s">
        <v>276</v>
      </c>
      <c r="E35" s="312" t="s">
        <v>414</v>
      </c>
      <c r="F35" s="312"/>
      <c r="G35" s="312" t="s">
        <v>415</v>
      </c>
      <c r="H35" s="312" t="s">
        <v>416</v>
      </c>
      <c r="I35" s="312" t="s">
        <v>417</v>
      </c>
      <c r="J35" s="312"/>
      <c r="L35" s="611"/>
      <c r="M35" s="521" t="s">
        <v>467</v>
      </c>
      <c r="N35" s="613">
        <f>B11</f>
        <v>1810</v>
      </c>
      <c r="O35" s="613"/>
      <c r="P35" s="330" t="s">
        <v>411</v>
      </c>
      <c r="Q35" s="597">
        <f>N35-INDEX(价格!$D:$D, COUNTA(价格!$A:$A))</f>
        <v>10</v>
      </c>
      <c r="R35" s="597"/>
    </row>
    <row r="36" spans="1:18" ht="17.25">
      <c r="A36" s="309"/>
      <c r="B36" s="309"/>
      <c r="C36" s="614"/>
      <c r="D36" s="132" t="s">
        <v>174</v>
      </c>
      <c r="E36" s="320">
        <f>LOOKUP(2,1/(价格!$P:$P&lt;&gt;0),价格!$P:$P)</f>
        <v>42</v>
      </c>
      <c r="F36" s="377"/>
      <c r="G36" s="320">
        <f>LOOKUP(2,1/(价格!$Q:$Q&lt;&gt;0),价格!$Q:$Q)</f>
        <v>53</v>
      </c>
      <c r="H36" s="320">
        <f>LOOKUP(2,1/(价格!$R:$R&lt;&gt;0),价格!$R:$R)</f>
        <v>40</v>
      </c>
      <c r="I36" s="320">
        <f>LOOKUP(2,1/(价格!$S:$S&lt;&gt;0),价格!$S:$S)</f>
        <v>39</v>
      </c>
      <c r="J36" s="312"/>
      <c r="L36" s="628" t="s">
        <v>468</v>
      </c>
      <c r="M36" s="528" t="s">
        <v>469</v>
      </c>
      <c r="N36" s="613">
        <f>B2</f>
        <v>1874</v>
      </c>
      <c r="O36" s="613"/>
      <c r="P36" s="528" t="s">
        <v>470</v>
      </c>
      <c r="Q36" s="613">
        <f>B12</f>
        <v>1914</v>
      </c>
      <c r="R36" s="613"/>
    </row>
    <row r="37" spans="1:18" ht="17.25">
      <c r="A37" s="302"/>
      <c r="B37" s="302"/>
      <c r="C37" s="614"/>
      <c r="D37" s="132" t="s">
        <v>386</v>
      </c>
      <c r="E37" s="320">
        <f>LOOKUP(2,1/(价格!$H:$H&lt;&gt;0),价格!$H:$H)</f>
        <v>1930</v>
      </c>
      <c r="F37" s="377"/>
      <c r="G37" s="320">
        <f>LOOKUP(2,1/(价格!$L:$L&lt;&gt;0),价格!$L:$L)</f>
        <v>1930</v>
      </c>
      <c r="H37" s="320">
        <f>LOOKUP(2,1/(价格!$J:$J&lt;&gt;0),价格!$J:$J)</f>
        <v>1940</v>
      </c>
      <c r="I37" s="320">
        <f>LOOKUP(2,1/(价格!$N:$N&lt;&gt;0),价格!$N:$N)</f>
        <v>1930</v>
      </c>
      <c r="J37" s="313"/>
      <c r="L37" s="628"/>
      <c r="M37" s="330" t="s">
        <v>471</v>
      </c>
      <c r="N37" s="597">
        <f>B2-B5</f>
        <v>0</v>
      </c>
      <c r="O37" s="597"/>
      <c r="P37" s="330" t="s">
        <v>471</v>
      </c>
      <c r="Q37" s="597">
        <f>B12-B15</f>
        <v>-5</v>
      </c>
      <c r="R37" s="597"/>
    </row>
    <row r="38" spans="1:18" s="309" customFormat="1" ht="16.5">
      <c r="A38" s="302"/>
      <c r="B38" s="302"/>
      <c r="C38" s="614"/>
      <c r="D38" s="132" t="s">
        <v>410</v>
      </c>
      <c r="E38" s="313">
        <f>E37-INDEX(价格!H:H, COUNTA(价格!$A:$A))</f>
        <v>10</v>
      </c>
      <c r="F38" s="313"/>
      <c r="G38" s="313">
        <f>G37-INDEX(价格!L:L, COUNTA(价格!$A:$A))</f>
        <v>0</v>
      </c>
      <c r="H38" s="313">
        <f>H37-INDEX(价格!J:J, COUNTA(价格!$A:$A))</f>
        <v>10</v>
      </c>
      <c r="I38" s="313">
        <f>I37-INDEX(价格!N:N, COUNTA(价格!$A:$A))</f>
        <v>10</v>
      </c>
      <c r="J38" s="313"/>
      <c r="L38" s="628"/>
      <c r="M38" s="330" t="s">
        <v>472</v>
      </c>
      <c r="N38" s="632">
        <f ca="1">B2-B1-B10</f>
        <v>27.811397260273971</v>
      </c>
      <c r="O38" s="632"/>
      <c r="P38" s="330" t="s">
        <v>472</v>
      </c>
      <c r="Q38" s="612">
        <f ca="1">B12-B1-B20</f>
        <v>-3.5216219178082184</v>
      </c>
      <c r="R38" s="612"/>
    </row>
    <row r="39" spans="1:18" ht="17.25">
      <c r="A39" s="302"/>
      <c r="B39" s="302"/>
      <c r="C39" s="614"/>
      <c r="D39" s="132" t="s">
        <v>393</v>
      </c>
      <c r="E39" s="258">
        <f>INDEX(价格!I:I, COUNTA(价格!$A:$A)+1)</f>
        <v>-12</v>
      </c>
      <c r="F39" s="258"/>
      <c r="G39" s="258">
        <f>INDEX(价格!M:M, COUNTA(价格!$A:$A)+1)</f>
        <v>-23</v>
      </c>
      <c r="H39" s="258">
        <f>INDEX(价格!K:K, COUNTA(价格!$A:$A)+1)</f>
        <v>0</v>
      </c>
      <c r="I39" s="258">
        <f>INDEX(价格!O:O, COUNTA(价格!$A:$A)+1)</f>
        <v>-9</v>
      </c>
      <c r="J39" s="313"/>
      <c r="L39" s="629" t="s">
        <v>473</v>
      </c>
      <c r="M39" s="529" t="s">
        <v>480</v>
      </c>
      <c r="N39" s="529" t="str">
        <f>E5</f>
        <v>依安鹏程</v>
      </c>
      <c r="O39" s="529" t="str">
        <f t="shared" ref="O39:P41" si="20">G5</f>
        <v>中粮龙江</v>
      </c>
      <c r="P39" s="529" t="str">
        <f t="shared" si="20"/>
        <v>青冈龙凤</v>
      </c>
      <c r="Q39" s="529" t="str">
        <f>J5</f>
        <v>松原嘉吉</v>
      </c>
      <c r="R39" s="603" t="s">
        <v>515</v>
      </c>
    </row>
    <row r="40" spans="1:18" ht="16.5">
      <c r="A40" s="302"/>
      <c r="B40" s="302"/>
      <c r="L40" s="629"/>
      <c r="M40" s="330" t="s">
        <v>481</v>
      </c>
      <c r="N40" s="330">
        <f>E6</f>
        <v>1610</v>
      </c>
      <c r="O40" s="330">
        <f t="shared" si="20"/>
        <v>1620</v>
      </c>
      <c r="P40" s="330">
        <f t="shared" si="20"/>
        <v>1700</v>
      </c>
      <c r="Q40" s="330">
        <f>J6</f>
        <v>1690</v>
      </c>
      <c r="R40" s="604"/>
    </row>
    <row r="41" spans="1:18" ht="16.5">
      <c r="A41" s="309"/>
      <c r="B41" s="309"/>
      <c r="L41" s="629"/>
      <c r="M41" s="330" t="s">
        <v>410</v>
      </c>
      <c r="N41" s="328">
        <f>E7</f>
        <v>0</v>
      </c>
      <c r="O41" s="522">
        <f t="shared" si="20"/>
        <v>0</v>
      </c>
      <c r="P41" s="522">
        <f t="shared" si="20"/>
        <v>0</v>
      </c>
      <c r="Q41" s="522">
        <f>J7</f>
        <v>0</v>
      </c>
      <c r="R41" s="604"/>
    </row>
    <row r="42" spans="1:18" ht="16.5">
      <c r="L42" s="629"/>
      <c r="M42" s="529" t="s">
        <v>480</v>
      </c>
      <c r="N42" s="529" t="str">
        <f t="shared" ref="N42:O44" si="21">G8</f>
        <v>中粮肇东</v>
      </c>
      <c r="O42" s="529" t="str">
        <f t="shared" si="21"/>
        <v>北安象屿</v>
      </c>
      <c r="P42" s="529" t="str">
        <f>J8</f>
        <v>开原益海</v>
      </c>
      <c r="Q42" s="529" t="str">
        <f>I8</f>
        <v>通辽梅花</v>
      </c>
      <c r="R42" s="604"/>
    </row>
    <row r="43" spans="1:18" ht="16.5">
      <c r="L43" s="629"/>
      <c r="M43" s="330" t="s">
        <v>481</v>
      </c>
      <c r="N43" s="330">
        <f t="shared" si="21"/>
        <v>1630</v>
      </c>
      <c r="O43" s="330" t="str">
        <f t="shared" si="21"/>
        <v>停收</v>
      </c>
      <c r="P43" s="330">
        <f>J9</f>
        <v>1720</v>
      </c>
      <c r="Q43" s="330">
        <f>I9</f>
        <v>1730</v>
      </c>
      <c r="R43" s="604"/>
    </row>
    <row r="44" spans="1:18" ht="16.5">
      <c r="L44" s="629"/>
      <c r="M44" s="330" t="s">
        <v>410</v>
      </c>
      <c r="N44" s="522">
        <f t="shared" si="21"/>
        <v>0</v>
      </c>
      <c r="O44" s="522">
        <f t="shared" si="21"/>
        <v>0</v>
      </c>
      <c r="P44" s="522">
        <f>J10</f>
        <v>0</v>
      </c>
      <c r="Q44" s="522">
        <f>I10</f>
        <v>0</v>
      </c>
      <c r="R44" s="605"/>
    </row>
    <row r="45" spans="1:18" ht="16.5">
      <c r="L45" s="629" t="s">
        <v>482</v>
      </c>
      <c r="M45" s="529" t="s">
        <v>480</v>
      </c>
      <c r="N45" s="529" t="str">
        <f>E17</f>
        <v>秦皇岛骊骅</v>
      </c>
      <c r="O45" s="529" t="str">
        <f>G17</f>
        <v>诸城兴贸</v>
      </c>
      <c r="P45" s="529" t="str">
        <f>H17</f>
        <v>寿光金</v>
      </c>
      <c r="Q45" s="529" t="str">
        <f>J17</f>
        <v>滨州西王</v>
      </c>
      <c r="R45" s="529" t="str">
        <f>I17</f>
        <v>英轩酒精</v>
      </c>
    </row>
    <row r="46" spans="1:18" ht="16.5">
      <c r="L46" s="629"/>
      <c r="M46" s="330" t="s">
        <v>483</v>
      </c>
      <c r="N46" s="330">
        <f t="shared" ref="N46:N47" si="22">E18</f>
        <v>1850</v>
      </c>
      <c r="O46" s="330">
        <f t="shared" ref="O46:P46" si="23">G18</f>
        <v>1970</v>
      </c>
      <c r="P46" s="330">
        <f t="shared" si="23"/>
        <v>1898</v>
      </c>
      <c r="Q46" s="330">
        <f t="shared" ref="Q46:Q47" si="24">J18</f>
        <v>1940</v>
      </c>
      <c r="R46" s="330">
        <f t="shared" ref="R46:R47" si="25">I18</f>
        <v>1970</v>
      </c>
    </row>
    <row r="47" spans="1:18" ht="16.5">
      <c r="L47" s="629"/>
      <c r="M47" s="330" t="s">
        <v>410</v>
      </c>
      <c r="N47" s="522">
        <f t="shared" si="22"/>
        <v>0</v>
      </c>
      <c r="O47" s="522">
        <f t="shared" ref="O47:P47" si="26">G19</f>
        <v>10</v>
      </c>
      <c r="P47" s="522">
        <f t="shared" si="26"/>
        <v>-7</v>
      </c>
      <c r="Q47" s="522">
        <f t="shared" si="24"/>
        <v>0</v>
      </c>
      <c r="R47" s="522">
        <f t="shared" si="25"/>
        <v>0</v>
      </c>
    </row>
    <row r="48" spans="1:18" ht="16.5">
      <c r="L48" s="630" t="s">
        <v>484</v>
      </c>
      <c r="M48" s="291" t="s">
        <v>485</v>
      </c>
      <c r="N48" s="291" t="str">
        <f>E35</f>
        <v>蛇口</v>
      </c>
      <c r="O48" s="291" t="str">
        <f t="shared" ref="O48:Q52" si="27">G35</f>
        <v>钦州</v>
      </c>
      <c r="P48" s="291" t="str">
        <f t="shared" si="27"/>
        <v>漳州</v>
      </c>
      <c r="Q48" s="291" t="str">
        <f t="shared" si="27"/>
        <v>南通</v>
      </c>
      <c r="R48" s="631" t="s">
        <v>488</v>
      </c>
    </row>
    <row r="49" spans="12:18" ht="16.5">
      <c r="L49" s="630"/>
      <c r="M49" s="330" t="s">
        <v>486</v>
      </c>
      <c r="N49" s="330">
        <f t="shared" ref="N49:N52" si="28">E36</f>
        <v>42</v>
      </c>
      <c r="O49" s="330">
        <f t="shared" si="27"/>
        <v>53</v>
      </c>
      <c r="P49" s="330">
        <f t="shared" si="27"/>
        <v>40</v>
      </c>
      <c r="Q49" s="330">
        <f t="shared" si="27"/>
        <v>39</v>
      </c>
      <c r="R49" s="631"/>
    </row>
    <row r="50" spans="12:18" ht="16.5">
      <c r="L50" s="630"/>
      <c r="M50" s="330" t="s">
        <v>483</v>
      </c>
      <c r="N50" s="330">
        <f t="shared" si="28"/>
        <v>1930</v>
      </c>
      <c r="O50" s="330">
        <f t="shared" si="27"/>
        <v>1930</v>
      </c>
      <c r="P50" s="330">
        <f t="shared" si="27"/>
        <v>1940</v>
      </c>
      <c r="Q50" s="330">
        <f t="shared" si="27"/>
        <v>1930</v>
      </c>
      <c r="R50" s="631"/>
    </row>
    <row r="51" spans="12:18" ht="16.5">
      <c r="L51" s="630"/>
      <c r="M51" s="330" t="s">
        <v>410</v>
      </c>
      <c r="N51" s="522">
        <f t="shared" si="28"/>
        <v>10</v>
      </c>
      <c r="O51" s="522">
        <f t="shared" si="27"/>
        <v>0</v>
      </c>
      <c r="P51" s="522">
        <f t="shared" si="27"/>
        <v>10</v>
      </c>
      <c r="Q51" s="522">
        <f t="shared" si="27"/>
        <v>10</v>
      </c>
      <c r="R51" s="631"/>
    </row>
    <row r="52" spans="12:18" ht="16.5">
      <c r="L52" s="630"/>
      <c r="M52" s="330" t="s">
        <v>487</v>
      </c>
      <c r="N52" s="330">
        <f t="shared" si="28"/>
        <v>-12</v>
      </c>
      <c r="O52" s="330">
        <f t="shared" si="27"/>
        <v>-23</v>
      </c>
      <c r="P52" s="330">
        <f t="shared" si="27"/>
        <v>0</v>
      </c>
      <c r="Q52" s="330">
        <f t="shared" si="27"/>
        <v>-9</v>
      </c>
      <c r="R52" s="631"/>
    </row>
    <row r="53" spans="12:18">
      <c r="L53" s="618" t="s">
        <v>516</v>
      </c>
      <c r="M53" s="619"/>
      <c r="N53" s="619"/>
      <c r="O53" s="619"/>
      <c r="P53" s="619"/>
      <c r="Q53" s="619"/>
      <c r="R53" s="620"/>
    </row>
    <row r="54" spans="12:18">
      <c r="L54" s="621"/>
      <c r="M54" s="622"/>
      <c r="N54" s="622"/>
      <c r="O54" s="622"/>
      <c r="P54" s="622"/>
      <c r="Q54" s="622"/>
      <c r="R54" s="623"/>
    </row>
    <row r="55" spans="12:18" ht="44.25" customHeight="1">
      <c r="L55" s="624"/>
      <c r="M55" s="625"/>
      <c r="N55" s="625"/>
      <c r="O55" s="625"/>
      <c r="P55" s="625"/>
      <c r="Q55" s="625"/>
      <c r="R55" s="626"/>
    </row>
  </sheetData>
  <mergeCells count="45"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  <mergeCell ref="Q38:R38"/>
    <mergeCell ref="N35:O35"/>
    <mergeCell ref="Q35:R35"/>
    <mergeCell ref="C31:C34"/>
    <mergeCell ref="C35:C39"/>
    <mergeCell ref="E32:J32"/>
    <mergeCell ref="E33:J33"/>
    <mergeCell ref="C20:C24"/>
    <mergeCell ref="C25:C30"/>
    <mergeCell ref="C1:C4"/>
    <mergeCell ref="C5:C10"/>
    <mergeCell ref="C11:C16"/>
    <mergeCell ref="C17:C19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L26:R30"/>
    <mergeCell ref="L21:L25"/>
    <mergeCell ref="R21:R25"/>
    <mergeCell ref="E15:J15"/>
    <mergeCell ref="E16:J16"/>
    <mergeCell ref="L18:L2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J6" activePane="bottomRight" state="frozen"/>
      <selection pane="topRight" activeCell="J1" sqref="J1"/>
      <selection pane="bottomLeft" activeCell="A3" sqref="A3"/>
      <selection pane="bottomRight" activeCell="BK28" sqref="BK28:BY28"/>
    </sheetView>
  </sheetViews>
  <sheetFormatPr defaultRowHeight="13.5"/>
  <cols>
    <col min="1" max="1" width="13.75" style="201" customWidth="1"/>
    <col min="2" max="2" width="8.5" style="200" bestFit="1" customWidth="1"/>
    <col min="3" max="7" width="4.5" style="200" bestFit="1" customWidth="1"/>
    <col min="8" max="8" width="4.5" style="80" bestFit="1" customWidth="1"/>
    <col min="9" max="9" width="3.375" style="190" bestFit="1" customWidth="1"/>
    <col min="10" max="10" width="3.375" style="191" customWidth="1"/>
    <col min="11" max="15" width="3.375" style="200" bestFit="1" customWidth="1"/>
    <col min="16" max="16" width="3.375" style="80" bestFit="1" customWidth="1"/>
    <col min="17" max="17" width="3.375" style="190" bestFit="1" customWidth="1"/>
    <col min="18" max="18" width="3.375" style="191" customWidth="1"/>
    <col min="19" max="23" width="3.375" style="200" bestFit="1" customWidth="1"/>
    <col min="24" max="24" width="3.375" style="80" bestFit="1" customWidth="1"/>
    <col min="25" max="25" width="11.625" style="197" bestFit="1" customWidth="1"/>
    <col min="26" max="26" width="4.5" style="191" bestFit="1" customWidth="1"/>
    <col min="27" max="31" width="4.5" style="191" customWidth="1"/>
    <col min="32" max="32" width="4.5" style="80" customWidth="1"/>
    <col min="33" max="33" width="11.625" style="197" bestFit="1" customWidth="1"/>
    <col min="34" max="34" width="4.5" style="191" customWidth="1"/>
    <col min="35" max="39" width="4.5" style="200" customWidth="1"/>
    <col min="40" max="40" width="4.5" style="80" customWidth="1"/>
    <col min="41" max="41" width="11.625" style="197" bestFit="1" customWidth="1"/>
    <col min="42" max="42" width="4.5" style="191" customWidth="1"/>
    <col min="43" max="47" width="4.5" style="200" customWidth="1"/>
    <col min="48" max="48" width="4.5" style="80" customWidth="1"/>
    <col min="49" max="49" width="11.625" style="197" bestFit="1" customWidth="1"/>
    <col min="50" max="50" width="4.5" style="191" customWidth="1"/>
    <col min="51" max="55" width="4.5" style="200" customWidth="1"/>
    <col min="56" max="56" width="4.5" style="80" customWidth="1"/>
    <col min="57" max="57" width="11.625" style="197" bestFit="1" customWidth="1"/>
    <col min="58" max="58" width="4.5" style="191" bestFit="1" customWidth="1"/>
    <col min="59" max="63" width="4.5" style="200" bestFit="1" customWidth="1"/>
    <col min="64" max="64" width="4.5" style="80" bestFit="1" customWidth="1"/>
    <col min="65" max="65" width="11.625" style="190" bestFit="1" customWidth="1"/>
    <col min="66" max="66" width="4.5" style="191" bestFit="1" customWidth="1"/>
    <col min="67" max="71" width="4.5" style="200" bestFit="1" customWidth="1"/>
    <col min="72" max="72" width="6.5" style="193" bestFit="1" customWidth="1"/>
    <col min="73" max="73" width="9" style="190"/>
    <col min="74" max="16384" width="9" style="200"/>
  </cols>
  <sheetData>
    <row r="1" spans="1:135">
      <c r="B1" s="633" t="s">
        <v>194</v>
      </c>
      <c r="C1" s="633"/>
      <c r="D1" s="633"/>
      <c r="E1" s="633"/>
      <c r="F1" s="633"/>
      <c r="G1" s="633"/>
      <c r="H1" s="633"/>
      <c r="I1" s="634" t="s">
        <v>188</v>
      </c>
      <c r="J1" s="634"/>
      <c r="K1" s="634"/>
      <c r="L1" s="634"/>
      <c r="M1" s="634"/>
      <c r="N1" s="634"/>
      <c r="O1" s="634"/>
      <c r="P1" s="634"/>
      <c r="Q1" s="633" t="s">
        <v>189</v>
      </c>
      <c r="R1" s="633"/>
      <c r="S1" s="633"/>
      <c r="T1" s="633"/>
      <c r="U1" s="633"/>
      <c r="V1" s="633"/>
      <c r="W1" s="633"/>
      <c r="X1" s="633"/>
      <c r="Y1" s="635" t="s">
        <v>190</v>
      </c>
      <c r="Z1" s="636"/>
      <c r="AA1" s="636"/>
      <c r="AB1" s="636"/>
      <c r="AC1" s="636"/>
      <c r="AD1" s="636"/>
      <c r="AE1" s="636"/>
      <c r="AF1" s="636"/>
      <c r="AG1" s="633" t="s">
        <v>196</v>
      </c>
      <c r="AH1" s="633"/>
      <c r="AI1" s="633"/>
      <c r="AJ1" s="633"/>
      <c r="AK1" s="633"/>
      <c r="AL1" s="633"/>
      <c r="AM1" s="633"/>
      <c r="AN1" s="633"/>
      <c r="AO1" s="633" t="s">
        <v>191</v>
      </c>
      <c r="AP1" s="633"/>
      <c r="AQ1" s="633"/>
      <c r="AR1" s="633"/>
      <c r="AS1" s="633"/>
      <c r="AT1" s="633"/>
      <c r="AU1" s="633"/>
      <c r="AV1" s="633"/>
      <c r="AW1" s="633" t="s">
        <v>192</v>
      </c>
      <c r="AX1" s="633"/>
      <c r="AY1" s="633"/>
      <c r="AZ1" s="633"/>
      <c r="BA1" s="633"/>
      <c r="BB1" s="633"/>
      <c r="BC1" s="633"/>
      <c r="BD1" s="633"/>
      <c r="BE1" s="633" t="s">
        <v>193</v>
      </c>
      <c r="BF1" s="633"/>
      <c r="BG1" s="633"/>
      <c r="BH1" s="633"/>
      <c r="BI1" s="633"/>
      <c r="BJ1" s="633"/>
      <c r="BK1" s="633"/>
      <c r="BL1" s="633"/>
      <c r="BM1" s="633" t="s">
        <v>197</v>
      </c>
      <c r="BN1" s="633"/>
      <c r="BO1" s="633"/>
      <c r="BP1" s="633"/>
      <c r="BQ1" s="633"/>
      <c r="BR1" s="633"/>
      <c r="BS1" s="633"/>
      <c r="BT1" s="633"/>
    </row>
    <row r="2" spans="1:135">
      <c r="A2" s="201" t="s">
        <v>198</v>
      </c>
      <c r="B2" s="200" t="s">
        <v>195</v>
      </c>
      <c r="C2" s="200" t="s">
        <v>199</v>
      </c>
      <c r="D2" s="200" t="s">
        <v>200</v>
      </c>
      <c r="E2" s="200" t="s">
        <v>201</v>
      </c>
      <c r="F2" s="200" t="s">
        <v>202</v>
      </c>
      <c r="G2" s="200" t="s">
        <v>203</v>
      </c>
      <c r="H2" s="80" t="s">
        <v>204</v>
      </c>
      <c r="J2" s="196" t="s">
        <v>205</v>
      </c>
      <c r="K2" s="200" t="s">
        <v>199</v>
      </c>
      <c r="L2" s="200" t="s">
        <v>206</v>
      </c>
      <c r="M2" s="200" t="s">
        <v>207</v>
      </c>
      <c r="N2" s="200" t="s">
        <v>202</v>
      </c>
      <c r="O2" s="200" t="s">
        <v>203</v>
      </c>
      <c r="P2" s="80" t="s">
        <v>204</v>
      </c>
      <c r="R2" s="196" t="s">
        <v>205</v>
      </c>
      <c r="S2" s="200" t="s">
        <v>199</v>
      </c>
      <c r="T2" s="200" t="s">
        <v>206</v>
      </c>
      <c r="U2" s="200" t="s">
        <v>207</v>
      </c>
      <c r="V2" s="200" t="s">
        <v>208</v>
      </c>
      <c r="W2" s="200" t="s">
        <v>209</v>
      </c>
      <c r="X2" s="80" t="s">
        <v>204</v>
      </c>
      <c r="Z2" s="196" t="s">
        <v>205</v>
      </c>
      <c r="AA2" s="200" t="s">
        <v>210</v>
      </c>
      <c r="AB2" s="200" t="s">
        <v>206</v>
      </c>
      <c r="AC2" s="200" t="s">
        <v>211</v>
      </c>
      <c r="AD2" s="200" t="s">
        <v>208</v>
      </c>
      <c r="AE2" s="200" t="s">
        <v>209</v>
      </c>
      <c r="AF2" s="80" t="s">
        <v>204</v>
      </c>
      <c r="AH2" s="196" t="s">
        <v>212</v>
      </c>
      <c r="AI2" s="200" t="s">
        <v>199</v>
      </c>
      <c r="AJ2" s="200" t="s">
        <v>206</v>
      </c>
      <c r="AK2" s="200" t="s">
        <v>207</v>
      </c>
      <c r="AL2" s="200" t="s">
        <v>213</v>
      </c>
      <c r="AM2" s="200" t="s">
        <v>209</v>
      </c>
      <c r="AN2" s="80" t="s">
        <v>204</v>
      </c>
      <c r="AP2" s="196" t="s">
        <v>205</v>
      </c>
      <c r="AQ2" s="200" t="s">
        <v>214</v>
      </c>
      <c r="AR2" s="200" t="s">
        <v>206</v>
      </c>
      <c r="AS2" s="200" t="s">
        <v>207</v>
      </c>
      <c r="AT2" s="200" t="s">
        <v>213</v>
      </c>
      <c r="AU2" s="200" t="s">
        <v>209</v>
      </c>
      <c r="AV2" s="80" t="s">
        <v>215</v>
      </c>
      <c r="AX2" s="196" t="s">
        <v>205</v>
      </c>
      <c r="AY2" s="200" t="s">
        <v>214</v>
      </c>
      <c r="AZ2" s="200" t="s">
        <v>206</v>
      </c>
      <c r="BA2" s="200" t="s">
        <v>201</v>
      </c>
      <c r="BB2" s="200" t="s">
        <v>213</v>
      </c>
      <c r="BC2" s="200" t="s">
        <v>209</v>
      </c>
      <c r="BD2" s="80" t="s">
        <v>204</v>
      </c>
      <c r="BF2" s="196" t="s">
        <v>205</v>
      </c>
      <c r="BG2" s="200" t="s">
        <v>214</v>
      </c>
      <c r="BH2" s="200" t="s">
        <v>206</v>
      </c>
      <c r="BI2" s="200" t="s">
        <v>207</v>
      </c>
      <c r="BJ2" s="200" t="s">
        <v>213</v>
      </c>
      <c r="BK2" s="200" t="s">
        <v>209</v>
      </c>
      <c r="BL2" s="80" t="s">
        <v>204</v>
      </c>
      <c r="BM2" s="190" t="s">
        <v>353</v>
      </c>
      <c r="BN2" s="196" t="s">
        <v>205</v>
      </c>
      <c r="BO2" s="200" t="s">
        <v>214</v>
      </c>
      <c r="BP2" s="200" t="s">
        <v>200</v>
      </c>
      <c r="BQ2" s="200" t="s">
        <v>207</v>
      </c>
      <c r="BR2" s="200" t="s">
        <v>213</v>
      </c>
      <c r="BS2" s="200" t="s">
        <v>209</v>
      </c>
      <c r="BT2" s="193" t="s">
        <v>204</v>
      </c>
    </row>
    <row r="3" spans="1:135">
      <c r="A3" s="201">
        <v>43419</v>
      </c>
      <c r="B3" s="192"/>
      <c r="C3" s="192"/>
      <c r="D3" s="192"/>
      <c r="E3" s="192"/>
      <c r="F3" s="192"/>
      <c r="G3" s="192"/>
      <c r="H3" s="192"/>
      <c r="J3" s="196"/>
      <c r="R3" s="196"/>
      <c r="Z3" s="196"/>
      <c r="AA3" s="200"/>
      <c r="AB3" s="200"/>
      <c r="AC3" s="200"/>
      <c r="AD3" s="200"/>
      <c r="AE3" s="200"/>
      <c r="AH3" s="196"/>
      <c r="AP3" s="196"/>
      <c r="AX3" s="196"/>
      <c r="BE3" s="198">
        <v>43051</v>
      </c>
      <c r="BF3" s="195">
        <v>0.14000000000000001</v>
      </c>
      <c r="BG3" s="192">
        <v>0.09</v>
      </c>
      <c r="BH3" s="192">
        <v>0.14000000000000001</v>
      </c>
      <c r="BI3" s="192">
        <v>0.1</v>
      </c>
      <c r="BJ3" s="192">
        <v>0.1</v>
      </c>
      <c r="BK3" s="192">
        <v>0.17</v>
      </c>
      <c r="BL3" s="193">
        <v>0.17</v>
      </c>
      <c r="BM3" s="197">
        <v>43415</v>
      </c>
      <c r="BN3" s="254">
        <v>0.13</v>
      </c>
      <c r="BO3" s="254">
        <v>0.06</v>
      </c>
      <c r="BP3" s="254">
        <v>0.12</v>
      </c>
      <c r="BQ3" s="254">
        <v>0.08</v>
      </c>
      <c r="BR3" s="254">
        <v>0.14000000000000001</v>
      </c>
      <c r="BS3" s="254">
        <v>0.2</v>
      </c>
      <c r="BT3" s="193">
        <v>0.25</v>
      </c>
    </row>
    <row r="4" spans="1:135">
      <c r="A4" s="201">
        <v>43426</v>
      </c>
      <c r="B4" s="192">
        <f t="shared" ref="B4:H18" si="0">AVERAGE(Z4,AH4,AP4,AX4,BF4)</f>
        <v>0.18</v>
      </c>
      <c r="C4" s="192">
        <f t="shared" si="0"/>
        <v>0.11200000000000002</v>
      </c>
      <c r="D4" s="192">
        <f t="shared" si="0"/>
        <v>0.20800000000000002</v>
      </c>
      <c r="E4" s="192">
        <f t="shared" si="0"/>
        <v>0.17199999999999999</v>
      </c>
      <c r="F4" s="192">
        <f t="shared" si="0"/>
        <v>0.122</v>
      </c>
      <c r="G4" s="192">
        <f t="shared" si="0"/>
        <v>0.22799999999999998</v>
      </c>
      <c r="H4" s="192">
        <f t="shared" si="0"/>
        <v>0.248</v>
      </c>
      <c r="I4" s="194"/>
      <c r="J4" s="195"/>
      <c r="K4" s="192"/>
      <c r="L4" s="192"/>
      <c r="M4" s="192"/>
      <c r="N4" s="192"/>
      <c r="O4" s="192"/>
      <c r="P4" s="193"/>
      <c r="Q4" s="194"/>
      <c r="R4" s="195"/>
      <c r="S4" s="192"/>
      <c r="T4" s="192"/>
      <c r="U4" s="192"/>
      <c r="V4" s="192"/>
      <c r="W4" s="192"/>
      <c r="X4" s="193"/>
      <c r="Y4" s="198">
        <v>41600</v>
      </c>
      <c r="Z4" s="195">
        <v>0.15</v>
      </c>
      <c r="AA4" s="195">
        <v>0.09</v>
      </c>
      <c r="AB4" s="195">
        <v>0.22</v>
      </c>
      <c r="AC4" s="195">
        <v>0.23</v>
      </c>
      <c r="AD4" s="195">
        <v>0.12</v>
      </c>
      <c r="AE4" s="195">
        <v>0.18</v>
      </c>
      <c r="AF4" s="193">
        <v>0.22</v>
      </c>
      <c r="AG4" s="198">
        <v>41965</v>
      </c>
      <c r="AH4" s="195">
        <v>0.18</v>
      </c>
      <c r="AI4" s="192">
        <v>0.13</v>
      </c>
      <c r="AJ4" s="192">
        <v>0.25</v>
      </c>
      <c r="AK4" s="192">
        <v>0.21</v>
      </c>
      <c r="AL4" s="192">
        <v>0.15</v>
      </c>
      <c r="AM4" s="192">
        <v>0.25</v>
      </c>
      <c r="AN4" s="193">
        <v>0.27</v>
      </c>
      <c r="AO4" s="198">
        <v>42330</v>
      </c>
      <c r="AP4" s="195">
        <v>0.21</v>
      </c>
      <c r="AQ4" s="192">
        <v>0.11</v>
      </c>
      <c r="AR4" s="192">
        <v>0.19</v>
      </c>
      <c r="AS4" s="192">
        <v>0.15</v>
      </c>
      <c r="AT4" s="192">
        <v>0.11</v>
      </c>
      <c r="AU4" s="192">
        <v>0.28000000000000003</v>
      </c>
      <c r="AV4" s="193">
        <v>0.28999999999999998</v>
      </c>
      <c r="AW4" s="198">
        <v>42694</v>
      </c>
      <c r="AX4" s="195">
        <v>0.14000000000000001</v>
      </c>
      <c r="AY4" s="192">
        <v>0.09</v>
      </c>
      <c r="AZ4" s="192">
        <v>0.17</v>
      </c>
      <c r="BA4" s="192">
        <v>0.11</v>
      </c>
      <c r="BB4" s="192">
        <v>0.11</v>
      </c>
      <c r="BC4" s="192">
        <v>0.21</v>
      </c>
      <c r="BD4" s="193">
        <v>0.23</v>
      </c>
      <c r="BE4" s="198">
        <v>43058</v>
      </c>
      <c r="BF4" s="195">
        <v>0.22</v>
      </c>
      <c r="BG4" s="192">
        <v>0.14000000000000001</v>
      </c>
      <c r="BH4" s="192">
        <v>0.21</v>
      </c>
      <c r="BI4" s="192">
        <v>0.16</v>
      </c>
      <c r="BJ4" s="192">
        <v>0.12</v>
      </c>
      <c r="BK4" s="192">
        <v>0.22</v>
      </c>
      <c r="BL4" s="193">
        <v>0.23</v>
      </c>
      <c r="BM4" s="197">
        <v>43422</v>
      </c>
      <c r="BN4" s="195">
        <v>0.16</v>
      </c>
      <c r="BO4" s="192">
        <v>0.08</v>
      </c>
      <c r="BP4" s="192">
        <v>0.15</v>
      </c>
      <c r="BQ4" s="192">
        <v>0.14000000000000001</v>
      </c>
      <c r="BR4" s="192">
        <v>0.16</v>
      </c>
      <c r="BS4" s="192">
        <v>0.26</v>
      </c>
      <c r="BT4" s="193">
        <v>0.3</v>
      </c>
      <c r="BU4" s="194"/>
      <c r="BV4" s="192"/>
      <c r="BW4" s="192"/>
      <c r="BX4" s="192"/>
      <c r="BY4" s="192"/>
      <c r="BZ4" s="192"/>
      <c r="CA4" s="192"/>
      <c r="CB4" s="192"/>
      <c r="CC4" s="192"/>
      <c r="CD4" s="192"/>
      <c r="CE4" s="192"/>
      <c r="CF4" s="192"/>
      <c r="CG4" s="192"/>
      <c r="CH4" s="192"/>
      <c r="CI4" s="192"/>
      <c r="CJ4" s="192"/>
      <c r="CK4" s="192"/>
      <c r="CL4" s="192"/>
      <c r="CM4" s="192"/>
      <c r="CN4" s="192"/>
      <c r="CO4" s="192"/>
      <c r="CP4" s="192"/>
      <c r="CQ4" s="192"/>
      <c r="CR4" s="192"/>
      <c r="CS4" s="192"/>
      <c r="CT4" s="192"/>
      <c r="CU4" s="192"/>
      <c r="CV4" s="192"/>
      <c r="CW4" s="192"/>
      <c r="CX4" s="192"/>
      <c r="CY4" s="192"/>
      <c r="CZ4" s="192"/>
      <c r="DA4" s="192"/>
      <c r="DB4" s="192"/>
      <c r="DC4" s="192"/>
      <c r="DD4" s="192"/>
      <c r="DE4" s="192"/>
      <c r="DF4" s="192"/>
      <c r="DG4" s="192"/>
      <c r="DH4" s="192"/>
      <c r="DI4" s="192"/>
      <c r="DJ4" s="192"/>
      <c r="DK4" s="192"/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2"/>
      <c r="EB4" s="192"/>
      <c r="EC4" s="192"/>
      <c r="ED4" s="192"/>
      <c r="EE4" s="192"/>
    </row>
    <row r="5" spans="1:135">
      <c r="A5" s="201">
        <v>43433</v>
      </c>
      <c r="B5" s="192">
        <f t="shared" si="0"/>
        <v>0.254</v>
      </c>
      <c r="C5" s="192">
        <f t="shared" si="0"/>
        <v>0.16799999999999998</v>
      </c>
      <c r="D5" s="192">
        <f t="shared" si="0"/>
        <v>0.27400000000000002</v>
      </c>
      <c r="E5" s="192">
        <f t="shared" si="0"/>
        <v>0.21400000000000002</v>
      </c>
      <c r="F5" s="192">
        <f t="shared" si="0"/>
        <v>0.16</v>
      </c>
      <c r="G5" s="192">
        <f t="shared" si="0"/>
        <v>0.26600000000000001</v>
      </c>
      <c r="H5" s="192">
        <f t="shared" si="0"/>
        <v>0.28200000000000003</v>
      </c>
      <c r="I5" s="194"/>
      <c r="J5" s="195"/>
      <c r="K5" s="192"/>
      <c r="L5" s="192"/>
      <c r="M5" s="192"/>
      <c r="N5" s="192"/>
      <c r="O5" s="192"/>
      <c r="P5" s="193"/>
      <c r="Q5" s="194"/>
      <c r="R5" s="195"/>
      <c r="S5" s="192"/>
      <c r="T5" s="192"/>
      <c r="U5" s="192"/>
      <c r="V5" s="192"/>
      <c r="W5" s="192"/>
      <c r="X5" s="193"/>
      <c r="Y5" s="198">
        <v>41607</v>
      </c>
      <c r="Z5" s="195">
        <v>0.19</v>
      </c>
      <c r="AA5" s="195">
        <v>0.12</v>
      </c>
      <c r="AB5" s="195">
        <v>0.25</v>
      </c>
      <c r="AC5" s="195">
        <v>0.26</v>
      </c>
      <c r="AD5" s="195">
        <v>0.14000000000000001</v>
      </c>
      <c r="AE5" s="195">
        <v>0.2</v>
      </c>
      <c r="AF5" s="193">
        <v>0.25</v>
      </c>
      <c r="AG5" s="198">
        <v>41972</v>
      </c>
      <c r="AH5" s="195">
        <v>0.27</v>
      </c>
      <c r="AI5" s="192">
        <v>0.19</v>
      </c>
      <c r="AJ5" s="192">
        <v>0.32</v>
      </c>
      <c r="AK5" s="192">
        <v>0.26</v>
      </c>
      <c r="AL5" s="192">
        <v>0.2</v>
      </c>
      <c r="AM5" s="192">
        <v>0.28000000000000003</v>
      </c>
      <c r="AN5" s="193">
        <v>0.3</v>
      </c>
      <c r="AO5" s="198">
        <v>42337</v>
      </c>
      <c r="AP5" s="195">
        <v>0.31</v>
      </c>
      <c r="AQ5" s="192">
        <v>0.16</v>
      </c>
      <c r="AR5" s="192">
        <v>0.25</v>
      </c>
      <c r="AS5" s="192">
        <v>0.18</v>
      </c>
      <c r="AT5" s="192">
        <v>0.17</v>
      </c>
      <c r="AU5" s="192">
        <v>0.32</v>
      </c>
      <c r="AV5" s="193">
        <v>0.33</v>
      </c>
      <c r="AW5" s="198">
        <v>42701</v>
      </c>
      <c r="AX5" s="195">
        <v>0.22</v>
      </c>
      <c r="AY5" s="192">
        <v>0.15</v>
      </c>
      <c r="AZ5" s="192">
        <v>0.26</v>
      </c>
      <c r="BA5" s="192">
        <v>0.16</v>
      </c>
      <c r="BB5" s="192">
        <v>0.15</v>
      </c>
      <c r="BC5" s="192">
        <v>0.26</v>
      </c>
      <c r="BD5" s="193">
        <v>0.27</v>
      </c>
      <c r="BE5" s="198">
        <v>43065</v>
      </c>
      <c r="BF5" s="195">
        <v>0.28000000000000003</v>
      </c>
      <c r="BG5" s="192">
        <v>0.22</v>
      </c>
      <c r="BH5" s="192">
        <v>0.28999999999999998</v>
      </c>
      <c r="BI5" s="192">
        <v>0.21</v>
      </c>
      <c r="BJ5" s="192">
        <v>0.14000000000000001</v>
      </c>
      <c r="BK5" s="192">
        <v>0.27</v>
      </c>
      <c r="BL5" s="193">
        <v>0.26</v>
      </c>
      <c r="BM5" s="197">
        <v>43429</v>
      </c>
      <c r="BN5" s="195">
        <v>0.19</v>
      </c>
      <c r="BO5" s="192">
        <v>0.09</v>
      </c>
      <c r="BP5" s="192">
        <v>0.2</v>
      </c>
      <c r="BQ5" s="192">
        <v>0.18</v>
      </c>
      <c r="BR5" s="192">
        <v>0.18</v>
      </c>
      <c r="BS5" s="192">
        <v>0.28000000000000003</v>
      </c>
      <c r="BT5" s="193">
        <v>0.33</v>
      </c>
      <c r="BU5" s="194"/>
      <c r="BV5" s="192"/>
      <c r="BW5" s="192"/>
      <c r="BX5" s="192"/>
      <c r="BY5" s="192"/>
      <c r="BZ5" s="192"/>
      <c r="CA5" s="192"/>
      <c r="CB5" s="192"/>
      <c r="CC5" s="192"/>
      <c r="CD5" s="192"/>
      <c r="CE5" s="192"/>
      <c r="CF5" s="192"/>
      <c r="CG5" s="192"/>
      <c r="CH5" s="192"/>
      <c r="CI5" s="192"/>
      <c r="CJ5" s="192"/>
      <c r="CK5" s="192"/>
      <c r="CL5" s="192"/>
      <c r="CM5" s="192"/>
      <c r="CN5" s="192"/>
      <c r="CO5" s="192"/>
      <c r="CP5" s="192"/>
      <c r="CQ5" s="192"/>
      <c r="CR5" s="192"/>
      <c r="CS5" s="192"/>
      <c r="CT5" s="192"/>
      <c r="CU5" s="192"/>
      <c r="CV5" s="192"/>
      <c r="CW5" s="192"/>
      <c r="CX5" s="192"/>
      <c r="CY5" s="192"/>
      <c r="CZ5" s="192"/>
      <c r="DA5" s="192"/>
      <c r="DB5" s="192"/>
      <c r="DC5" s="192"/>
      <c r="DD5" s="192"/>
      <c r="DE5" s="192"/>
      <c r="DF5" s="192"/>
      <c r="DG5" s="192"/>
      <c r="DH5" s="192"/>
      <c r="DI5" s="192"/>
      <c r="DJ5" s="192"/>
      <c r="DK5" s="192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2"/>
      <c r="EB5" s="192"/>
      <c r="EC5" s="192"/>
      <c r="ED5" s="192"/>
      <c r="EE5" s="192"/>
    </row>
    <row r="6" spans="1:135">
      <c r="A6" s="201">
        <v>43440</v>
      </c>
      <c r="B6" s="192">
        <f t="shared" si="0"/>
        <v>0.314</v>
      </c>
      <c r="C6" s="192">
        <f t="shared" si="0"/>
        <v>0.22000000000000003</v>
      </c>
      <c r="D6" s="192">
        <f t="shared" si="0"/>
        <v>0.33</v>
      </c>
      <c r="E6" s="192">
        <f t="shared" si="0"/>
        <v>0.25</v>
      </c>
      <c r="F6" s="192">
        <f t="shared" si="0"/>
        <v>0.19600000000000001</v>
      </c>
      <c r="G6" s="192">
        <f t="shared" si="0"/>
        <v>0.30399999999999999</v>
      </c>
      <c r="H6" s="192">
        <f t="shared" si="0"/>
        <v>0.318</v>
      </c>
      <c r="I6" s="194"/>
      <c r="J6" s="195"/>
      <c r="K6" s="192"/>
      <c r="L6" s="192"/>
      <c r="M6" s="192"/>
      <c r="N6" s="192"/>
      <c r="O6" s="192"/>
      <c r="P6" s="193"/>
      <c r="Q6" s="194"/>
      <c r="R6" s="195"/>
      <c r="S6" s="192"/>
      <c r="T6" s="192"/>
      <c r="U6" s="192"/>
      <c r="V6" s="192"/>
      <c r="W6" s="192"/>
      <c r="X6" s="193"/>
      <c r="Y6" s="198">
        <v>41614</v>
      </c>
      <c r="Z6" s="195">
        <v>0.21</v>
      </c>
      <c r="AA6" s="195">
        <v>0.15</v>
      </c>
      <c r="AB6" s="195">
        <v>0.28000000000000003</v>
      </c>
      <c r="AC6" s="195">
        <v>0.26</v>
      </c>
      <c r="AD6" s="195">
        <v>0.17</v>
      </c>
      <c r="AE6" s="195">
        <v>0.22</v>
      </c>
      <c r="AF6" s="193">
        <v>0.27</v>
      </c>
      <c r="AG6" s="198">
        <v>41979</v>
      </c>
      <c r="AH6" s="195">
        <v>0.33</v>
      </c>
      <c r="AI6" s="192">
        <v>0.23</v>
      </c>
      <c r="AJ6" s="192">
        <v>0.37</v>
      </c>
      <c r="AK6" s="192">
        <v>0.28000000000000003</v>
      </c>
      <c r="AL6" s="192">
        <v>0.23</v>
      </c>
      <c r="AM6" s="192">
        <v>0.32</v>
      </c>
      <c r="AN6" s="193">
        <v>0.34</v>
      </c>
      <c r="AO6" s="198">
        <v>42344</v>
      </c>
      <c r="AP6" s="195">
        <v>0.42</v>
      </c>
      <c r="AQ6" s="192">
        <v>0.24</v>
      </c>
      <c r="AR6" s="192">
        <v>0.33</v>
      </c>
      <c r="AS6" s="192">
        <v>0.25</v>
      </c>
      <c r="AT6" s="192">
        <v>0.21</v>
      </c>
      <c r="AU6" s="192">
        <v>0.36</v>
      </c>
      <c r="AV6" s="193">
        <v>0.37</v>
      </c>
      <c r="AW6" s="198">
        <v>42708</v>
      </c>
      <c r="AX6" s="195">
        <v>0.28999999999999998</v>
      </c>
      <c r="AY6" s="192">
        <v>0.21</v>
      </c>
      <c r="AZ6" s="192">
        <v>0.34</v>
      </c>
      <c r="BA6" s="192">
        <v>0.22</v>
      </c>
      <c r="BB6" s="192">
        <v>0.2</v>
      </c>
      <c r="BC6" s="192">
        <v>0.31</v>
      </c>
      <c r="BD6" s="193">
        <v>0.32</v>
      </c>
      <c r="BE6" s="198">
        <v>43072</v>
      </c>
      <c r="BF6" s="195">
        <v>0.32</v>
      </c>
      <c r="BG6" s="192">
        <v>0.27</v>
      </c>
      <c r="BH6" s="192">
        <v>0.33</v>
      </c>
      <c r="BI6" s="192">
        <v>0.24</v>
      </c>
      <c r="BJ6" s="192">
        <v>0.17</v>
      </c>
      <c r="BK6" s="192">
        <v>0.31</v>
      </c>
      <c r="BL6" s="193">
        <v>0.28999999999999998</v>
      </c>
      <c r="BM6" s="197">
        <v>43436</v>
      </c>
      <c r="BN6" s="195">
        <v>0.22</v>
      </c>
      <c r="BO6" s="192">
        <v>0.11</v>
      </c>
      <c r="BP6" s="192">
        <v>0.23</v>
      </c>
      <c r="BQ6" s="192">
        <v>0.2</v>
      </c>
      <c r="BR6" s="192">
        <v>0.2</v>
      </c>
      <c r="BS6" s="192">
        <v>0.31</v>
      </c>
      <c r="BT6" s="193">
        <v>0.36</v>
      </c>
      <c r="BU6" s="194"/>
      <c r="BV6" s="192"/>
      <c r="BW6" s="192"/>
      <c r="BX6" s="192"/>
      <c r="BY6" s="192"/>
      <c r="BZ6" s="192"/>
      <c r="CA6" s="192"/>
      <c r="CB6" s="192"/>
      <c r="CC6" s="192"/>
      <c r="CD6" s="192"/>
      <c r="CE6" s="192"/>
      <c r="CF6" s="192"/>
      <c r="CG6" s="192"/>
      <c r="CH6" s="192"/>
      <c r="CI6" s="192"/>
      <c r="CJ6" s="192"/>
      <c r="CK6" s="192"/>
      <c r="CL6" s="192"/>
      <c r="CM6" s="192"/>
      <c r="CN6" s="192"/>
      <c r="CO6" s="192"/>
      <c r="CP6" s="192"/>
      <c r="CQ6" s="192"/>
      <c r="CR6" s="192"/>
      <c r="CS6" s="192"/>
      <c r="CT6" s="192"/>
      <c r="CU6" s="192"/>
      <c r="CV6" s="192"/>
      <c r="CW6" s="192"/>
      <c r="CX6" s="192"/>
      <c r="CY6" s="192"/>
      <c r="CZ6" s="192"/>
      <c r="DA6" s="192"/>
      <c r="DB6" s="192"/>
      <c r="DC6" s="192"/>
      <c r="DD6" s="192"/>
      <c r="DE6" s="192"/>
      <c r="DF6" s="192"/>
      <c r="DG6" s="192"/>
      <c r="DH6" s="192"/>
      <c r="DI6" s="192"/>
      <c r="DJ6" s="192"/>
      <c r="DK6" s="192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2"/>
      <c r="EB6" s="192"/>
      <c r="EC6" s="192"/>
      <c r="ED6" s="192"/>
      <c r="EE6" s="192"/>
    </row>
    <row r="7" spans="1:135">
      <c r="A7" s="201">
        <v>43447</v>
      </c>
      <c r="B7" s="192">
        <f t="shared" si="0"/>
        <v>0.37</v>
      </c>
      <c r="C7" s="192">
        <f t="shared" si="0"/>
        <v>0.254</v>
      </c>
      <c r="D7" s="192">
        <f t="shared" si="0"/>
        <v>0.376</v>
      </c>
      <c r="E7" s="192">
        <f t="shared" si="0"/>
        <v>0.29400000000000004</v>
      </c>
      <c r="F7" s="192">
        <f t="shared" si="0"/>
        <v>0.23199999999999998</v>
      </c>
      <c r="G7" s="192">
        <f t="shared" si="0"/>
        <v>0.33600000000000002</v>
      </c>
      <c r="H7" s="192">
        <f t="shared" si="0"/>
        <v>0.35</v>
      </c>
      <c r="I7" s="194"/>
      <c r="J7" s="195"/>
      <c r="K7" s="192"/>
      <c r="L7" s="192"/>
      <c r="M7" s="192"/>
      <c r="N7" s="192"/>
      <c r="O7" s="192"/>
      <c r="P7" s="193"/>
      <c r="Q7" s="194"/>
      <c r="R7" s="195"/>
      <c r="S7" s="192"/>
      <c r="T7" s="192"/>
      <c r="U7" s="192"/>
      <c r="V7" s="192"/>
      <c r="W7" s="192"/>
      <c r="X7" s="193"/>
      <c r="Y7" s="198">
        <v>41621</v>
      </c>
      <c r="Z7" s="195">
        <v>0.24</v>
      </c>
      <c r="AA7" s="195">
        <v>0.18</v>
      </c>
      <c r="AB7" s="195">
        <v>0.32</v>
      </c>
      <c r="AC7" s="195">
        <v>0.28999999999999998</v>
      </c>
      <c r="AD7" s="195">
        <v>0.19</v>
      </c>
      <c r="AE7" s="195">
        <v>0.24</v>
      </c>
      <c r="AF7" s="193">
        <v>0.28999999999999998</v>
      </c>
      <c r="AG7" s="198">
        <v>41986</v>
      </c>
      <c r="AH7" s="195">
        <v>0.37</v>
      </c>
      <c r="AI7" s="192">
        <v>0.26</v>
      </c>
      <c r="AJ7" s="192">
        <v>0.4</v>
      </c>
      <c r="AK7" s="192">
        <v>0.33</v>
      </c>
      <c r="AL7" s="192">
        <v>0.28000000000000003</v>
      </c>
      <c r="AM7" s="192">
        <v>0.36</v>
      </c>
      <c r="AN7" s="193">
        <v>0.37</v>
      </c>
      <c r="AO7" s="198">
        <v>42351</v>
      </c>
      <c r="AP7" s="195">
        <v>0.49</v>
      </c>
      <c r="AQ7" s="192">
        <v>0.27</v>
      </c>
      <c r="AR7" s="192">
        <v>0.36</v>
      </c>
      <c r="AS7" s="192">
        <v>0.28000000000000003</v>
      </c>
      <c r="AT7" s="192">
        <v>0.24</v>
      </c>
      <c r="AU7" s="192">
        <v>0.39</v>
      </c>
      <c r="AV7" s="193">
        <v>0.4</v>
      </c>
      <c r="AW7" s="198">
        <v>42715</v>
      </c>
      <c r="AX7" s="195">
        <v>0.37</v>
      </c>
      <c r="AY7" s="192">
        <v>0.25</v>
      </c>
      <c r="AZ7" s="192">
        <v>0.41</v>
      </c>
      <c r="BA7" s="192">
        <v>0.28000000000000003</v>
      </c>
      <c r="BB7" s="192">
        <v>0.24</v>
      </c>
      <c r="BC7" s="192">
        <v>0.34</v>
      </c>
      <c r="BD7" s="193">
        <v>0.36</v>
      </c>
      <c r="BE7" s="198">
        <v>43079</v>
      </c>
      <c r="BF7" s="195">
        <v>0.38</v>
      </c>
      <c r="BG7" s="192">
        <v>0.31</v>
      </c>
      <c r="BH7" s="192">
        <v>0.39</v>
      </c>
      <c r="BI7" s="192">
        <v>0.28999999999999998</v>
      </c>
      <c r="BJ7" s="192">
        <v>0.21</v>
      </c>
      <c r="BK7" s="192">
        <v>0.35</v>
      </c>
      <c r="BL7" s="193">
        <v>0.33</v>
      </c>
      <c r="BM7" s="197">
        <v>43443</v>
      </c>
      <c r="BN7" s="195">
        <v>0.27</v>
      </c>
      <c r="BO7" s="192">
        <v>0.15</v>
      </c>
      <c r="BP7" s="192">
        <v>0.28000000000000003</v>
      </c>
      <c r="BQ7" s="192">
        <v>0.25</v>
      </c>
      <c r="BR7" s="192">
        <v>0.24</v>
      </c>
      <c r="BS7" s="192">
        <v>0.35</v>
      </c>
      <c r="BT7" s="193">
        <v>0.39</v>
      </c>
      <c r="BU7" s="194"/>
      <c r="BV7" s="192"/>
      <c r="BW7" s="192"/>
      <c r="BX7" s="192"/>
      <c r="BY7" s="192"/>
      <c r="BZ7" s="192"/>
      <c r="CA7" s="192"/>
      <c r="CB7" s="192"/>
      <c r="CC7" s="192"/>
      <c r="CD7" s="192"/>
      <c r="CE7" s="192"/>
      <c r="CF7" s="192"/>
      <c r="CG7" s="192"/>
      <c r="CH7" s="192"/>
      <c r="CI7" s="192"/>
      <c r="CJ7" s="192"/>
      <c r="CK7" s="192"/>
      <c r="CL7" s="192"/>
      <c r="CM7" s="192"/>
      <c r="CN7" s="192"/>
      <c r="CO7" s="192"/>
      <c r="CP7" s="192"/>
      <c r="CQ7" s="192"/>
      <c r="CR7" s="192"/>
      <c r="CS7" s="192"/>
      <c r="CT7" s="192"/>
      <c r="CU7" s="192"/>
      <c r="CV7" s="192"/>
      <c r="CW7" s="192"/>
      <c r="CX7" s="192"/>
      <c r="CY7" s="192"/>
      <c r="CZ7" s="192"/>
      <c r="DA7" s="192"/>
      <c r="DB7" s="192"/>
      <c r="DC7" s="192"/>
      <c r="DD7" s="192"/>
      <c r="DE7" s="192"/>
      <c r="DF7" s="192"/>
      <c r="DG7" s="192"/>
      <c r="DH7" s="192"/>
      <c r="DI7" s="192"/>
      <c r="DJ7" s="192"/>
      <c r="DK7" s="192"/>
      <c r="DL7" s="192"/>
      <c r="DM7" s="192"/>
      <c r="DN7" s="192"/>
      <c r="DO7" s="192"/>
      <c r="DP7" s="192"/>
      <c r="DQ7" s="192"/>
      <c r="DR7" s="192"/>
      <c r="DS7" s="192"/>
      <c r="DT7" s="192"/>
      <c r="DU7" s="192"/>
      <c r="DV7" s="192"/>
      <c r="DW7" s="192"/>
      <c r="DX7" s="192"/>
      <c r="DY7" s="192"/>
      <c r="DZ7" s="192"/>
      <c r="EA7" s="192"/>
      <c r="EB7" s="192"/>
      <c r="EC7" s="192"/>
      <c r="ED7" s="192"/>
      <c r="EE7" s="192"/>
    </row>
    <row r="8" spans="1:135">
      <c r="A8" s="201">
        <v>43454</v>
      </c>
      <c r="B8" s="192">
        <f t="shared" si="0"/>
        <v>0.41800000000000004</v>
      </c>
      <c r="C8" s="192">
        <f t="shared" si="0"/>
        <v>0.28799999999999998</v>
      </c>
      <c r="D8" s="192">
        <f t="shared" si="0"/>
        <v>0.42200000000000004</v>
      </c>
      <c r="E8" s="192">
        <f t="shared" si="0"/>
        <v>0.33400000000000002</v>
      </c>
      <c r="F8" s="192">
        <f t="shared" si="0"/>
        <v>0.254</v>
      </c>
      <c r="G8" s="192">
        <f t="shared" si="0"/>
        <v>0.36199999999999999</v>
      </c>
      <c r="H8" s="192">
        <f t="shared" si="0"/>
        <v>0.372</v>
      </c>
      <c r="I8" s="194"/>
      <c r="J8" s="195"/>
      <c r="K8" s="192"/>
      <c r="L8" s="192"/>
      <c r="M8" s="192"/>
      <c r="N8" s="192"/>
      <c r="O8" s="192"/>
      <c r="P8" s="193"/>
      <c r="Q8" s="194"/>
      <c r="R8" s="195"/>
      <c r="S8" s="192"/>
      <c r="T8" s="192"/>
      <c r="U8" s="192"/>
      <c r="V8" s="192"/>
      <c r="W8" s="192"/>
      <c r="X8" s="193"/>
      <c r="Y8" s="198">
        <v>41628</v>
      </c>
      <c r="Z8" s="195">
        <v>0.28000000000000003</v>
      </c>
      <c r="AA8" s="195">
        <v>0.2</v>
      </c>
      <c r="AB8" s="195">
        <v>0.36</v>
      </c>
      <c r="AC8" s="195">
        <v>0.31</v>
      </c>
      <c r="AD8" s="195">
        <v>0.2</v>
      </c>
      <c r="AE8" s="195">
        <v>0.25</v>
      </c>
      <c r="AF8" s="193">
        <v>0.3</v>
      </c>
      <c r="AG8" s="198">
        <v>41993</v>
      </c>
      <c r="AH8" s="195">
        <v>0.4</v>
      </c>
      <c r="AI8" s="192">
        <v>0.28000000000000003</v>
      </c>
      <c r="AJ8" s="192">
        <v>0.44</v>
      </c>
      <c r="AK8" s="192">
        <v>0.37</v>
      </c>
      <c r="AL8" s="192">
        <v>0.3</v>
      </c>
      <c r="AM8" s="192">
        <v>0.39</v>
      </c>
      <c r="AN8" s="193">
        <v>0.39</v>
      </c>
      <c r="AO8" s="198">
        <v>42358</v>
      </c>
      <c r="AP8" s="195">
        <v>0.54</v>
      </c>
      <c r="AQ8" s="192">
        <v>0.32</v>
      </c>
      <c r="AR8" s="192">
        <v>0.4</v>
      </c>
      <c r="AS8" s="192">
        <v>0.34</v>
      </c>
      <c r="AT8" s="192">
        <v>0.27</v>
      </c>
      <c r="AU8" s="192">
        <v>0.42</v>
      </c>
      <c r="AV8" s="193">
        <v>0.43</v>
      </c>
      <c r="AW8" s="198">
        <v>42722</v>
      </c>
      <c r="AX8" s="195">
        <v>0.43</v>
      </c>
      <c r="AY8" s="192">
        <v>0.28999999999999998</v>
      </c>
      <c r="AZ8" s="192">
        <v>0.47</v>
      </c>
      <c r="BA8" s="192">
        <v>0.32</v>
      </c>
      <c r="BB8" s="192">
        <v>0.26</v>
      </c>
      <c r="BC8" s="192">
        <v>0.37</v>
      </c>
      <c r="BD8" s="193">
        <v>0.38</v>
      </c>
      <c r="BE8" s="198">
        <v>43086</v>
      </c>
      <c r="BF8" s="195">
        <v>0.44</v>
      </c>
      <c r="BG8" s="192">
        <v>0.35</v>
      </c>
      <c r="BH8" s="192">
        <v>0.44</v>
      </c>
      <c r="BI8" s="192">
        <v>0.33</v>
      </c>
      <c r="BJ8" s="192">
        <v>0.24</v>
      </c>
      <c r="BK8" s="192">
        <v>0.38</v>
      </c>
      <c r="BL8" s="193">
        <v>0.36</v>
      </c>
      <c r="BM8" s="197">
        <v>43450</v>
      </c>
      <c r="BN8" s="195">
        <v>0.31</v>
      </c>
      <c r="BO8" s="192">
        <v>0.19</v>
      </c>
      <c r="BP8" s="192">
        <v>0.31</v>
      </c>
      <c r="BQ8" s="192">
        <v>0.28000000000000003</v>
      </c>
      <c r="BR8" s="192">
        <v>0.27</v>
      </c>
      <c r="BS8" s="192">
        <v>0.38</v>
      </c>
      <c r="BT8" s="193">
        <v>0.41</v>
      </c>
      <c r="BU8" s="194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2"/>
      <c r="CR8" s="192"/>
      <c r="CS8" s="192"/>
      <c r="CT8" s="192"/>
      <c r="CU8" s="192"/>
      <c r="CV8" s="192"/>
      <c r="CW8" s="192"/>
      <c r="CX8" s="192"/>
      <c r="CY8" s="192"/>
      <c r="CZ8" s="192"/>
      <c r="DA8" s="192"/>
      <c r="DB8" s="192"/>
      <c r="DC8" s="192"/>
      <c r="DD8" s="192"/>
      <c r="DE8" s="192"/>
      <c r="DF8" s="192"/>
      <c r="DG8" s="192"/>
      <c r="DH8" s="192"/>
      <c r="DI8" s="192"/>
      <c r="DJ8" s="192"/>
      <c r="DK8" s="192"/>
      <c r="DL8" s="192"/>
      <c r="DM8" s="192"/>
      <c r="DN8" s="192"/>
      <c r="DO8" s="192"/>
      <c r="DP8" s="192"/>
      <c r="DQ8" s="192"/>
      <c r="DR8" s="192"/>
      <c r="DS8" s="192"/>
      <c r="DT8" s="192"/>
      <c r="DU8" s="192"/>
      <c r="DV8" s="192"/>
      <c r="DW8" s="192"/>
      <c r="DX8" s="192"/>
      <c r="DY8" s="192"/>
      <c r="DZ8" s="192"/>
      <c r="EA8" s="192"/>
      <c r="EB8" s="192"/>
      <c r="EC8" s="192"/>
      <c r="ED8" s="192"/>
      <c r="EE8" s="192"/>
    </row>
    <row r="9" spans="1:135">
      <c r="A9" s="201">
        <v>43461</v>
      </c>
      <c r="B9" s="192">
        <f t="shared" si="0"/>
        <v>0.46400000000000008</v>
      </c>
      <c r="C9" s="192">
        <f t="shared" si="0"/>
        <v>0.33199999999999996</v>
      </c>
      <c r="D9" s="192">
        <f t="shared" si="0"/>
        <v>0.46200000000000002</v>
      </c>
      <c r="E9" s="192">
        <f t="shared" si="0"/>
        <v>0.374</v>
      </c>
      <c r="F9" s="192">
        <f t="shared" si="0"/>
        <v>0.28600000000000003</v>
      </c>
      <c r="G9" s="192">
        <f t="shared" si="0"/>
        <v>0.39400000000000002</v>
      </c>
      <c r="H9" s="192">
        <f t="shared" si="0"/>
        <v>0.39600000000000002</v>
      </c>
      <c r="I9" s="194"/>
      <c r="J9" s="195"/>
      <c r="K9" s="192"/>
      <c r="L9" s="192"/>
      <c r="M9" s="192"/>
      <c r="N9" s="192"/>
      <c r="O9" s="192"/>
      <c r="P9" s="193"/>
      <c r="Q9" s="194"/>
      <c r="R9" s="195"/>
      <c r="S9" s="192"/>
      <c r="T9" s="192"/>
      <c r="U9" s="192"/>
      <c r="V9" s="192"/>
      <c r="W9" s="192"/>
      <c r="X9" s="193"/>
      <c r="Y9" s="198">
        <v>41635</v>
      </c>
      <c r="Z9" s="195">
        <v>0.32</v>
      </c>
      <c r="AA9" s="195">
        <v>0.25</v>
      </c>
      <c r="AB9" s="195">
        <v>0.38</v>
      </c>
      <c r="AC9" s="195">
        <v>0.34</v>
      </c>
      <c r="AD9" s="195">
        <v>0.22</v>
      </c>
      <c r="AE9" s="195">
        <v>0.27</v>
      </c>
      <c r="AF9" s="193">
        <v>0.31</v>
      </c>
      <c r="AG9" s="198">
        <v>42000</v>
      </c>
      <c r="AH9" s="195">
        <v>0.43</v>
      </c>
      <c r="AI9" s="192">
        <v>0.31</v>
      </c>
      <c r="AJ9" s="192">
        <v>0.48</v>
      </c>
      <c r="AK9" s="192">
        <v>0.4</v>
      </c>
      <c r="AL9" s="192">
        <v>0.33</v>
      </c>
      <c r="AM9" s="192">
        <v>0.43</v>
      </c>
      <c r="AN9" s="193">
        <v>0.42</v>
      </c>
      <c r="AO9" s="198">
        <v>42365</v>
      </c>
      <c r="AP9" s="195">
        <v>0.57999999999999996</v>
      </c>
      <c r="AQ9" s="192">
        <v>0.36</v>
      </c>
      <c r="AR9" s="192">
        <v>0.45</v>
      </c>
      <c r="AS9" s="192">
        <v>0.38</v>
      </c>
      <c r="AT9" s="192">
        <v>0.31</v>
      </c>
      <c r="AU9" s="192">
        <v>0.45</v>
      </c>
      <c r="AV9" s="193">
        <v>0.46</v>
      </c>
      <c r="AW9" s="198">
        <v>42729</v>
      </c>
      <c r="AX9" s="195">
        <v>0.48</v>
      </c>
      <c r="AY9" s="192">
        <v>0.33</v>
      </c>
      <c r="AZ9" s="192">
        <v>0.5</v>
      </c>
      <c r="BA9" s="192">
        <v>0.36</v>
      </c>
      <c r="BB9" s="192">
        <v>0.28999999999999998</v>
      </c>
      <c r="BC9" s="192">
        <v>0.39</v>
      </c>
      <c r="BD9" s="193">
        <v>0.4</v>
      </c>
      <c r="BE9" s="198">
        <v>43093</v>
      </c>
      <c r="BF9" s="195">
        <v>0.51</v>
      </c>
      <c r="BG9" s="192">
        <v>0.41</v>
      </c>
      <c r="BH9" s="192">
        <v>0.5</v>
      </c>
      <c r="BI9" s="192">
        <v>0.39</v>
      </c>
      <c r="BJ9" s="192">
        <v>0.28000000000000003</v>
      </c>
      <c r="BK9" s="192">
        <v>0.43</v>
      </c>
      <c r="BL9" s="193">
        <v>0.39</v>
      </c>
      <c r="BM9" s="197">
        <v>43457</v>
      </c>
      <c r="BN9" s="195">
        <v>0.35</v>
      </c>
      <c r="BO9" s="192">
        <v>0.23</v>
      </c>
      <c r="BP9" s="192">
        <v>0.35</v>
      </c>
      <c r="BQ9" s="192">
        <v>0.32</v>
      </c>
      <c r="BR9" s="192">
        <v>0.31</v>
      </c>
      <c r="BS9" s="192">
        <v>0.41</v>
      </c>
      <c r="BT9" s="193">
        <v>0.44</v>
      </c>
      <c r="BU9" s="194"/>
      <c r="BV9" s="192"/>
      <c r="BW9" s="192"/>
      <c r="BX9" s="192"/>
      <c r="BY9" s="192"/>
      <c r="BZ9" s="192"/>
      <c r="CA9" s="192"/>
      <c r="CB9" s="192"/>
      <c r="CC9" s="192"/>
      <c r="CD9" s="192"/>
      <c r="CE9" s="192"/>
      <c r="CF9" s="192"/>
      <c r="CG9" s="192"/>
      <c r="CH9" s="192"/>
      <c r="CI9" s="192"/>
      <c r="CJ9" s="192"/>
      <c r="CK9" s="192"/>
      <c r="CL9" s="192"/>
      <c r="CM9" s="192"/>
      <c r="CN9" s="192"/>
      <c r="CO9" s="192"/>
      <c r="CP9" s="192"/>
      <c r="CQ9" s="192"/>
      <c r="CR9" s="192"/>
      <c r="CS9" s="192"/>
      <c r="CT9" s="192"/>
      <c r="CU9" s="192"/>
      <c r="CV9" s="192"/>
      <c r="CW9" s="192"/>
      <c r="CX9" s="192"/>
      <c r="CY9" s="192"/>
      <c r="CZ9" s="192"/>
      <c r="DA9" s="192"/>
      <c r="DB9" s="192"/>
      <c r="DC9" s="192"/>
      <c r="DD9" s="192"/>
      <c r="DE9" s="192"/>
      <c r="DF9" s="192"/>
      <c r="DG9" s="192"/>
      <c r="DH9" s="192"/>
      <c r="DI9" s="192"/>
      <c r="DJ9" s="192"/>
      <c r="DK9" s="192"/>
      <c r="DL9" s="192"/>
      <c r="DM9" s="192"/>
      <c r="DN9" s="192"/>
      <c r="DO9" s="192"/>
      <c r="DP9" s="192"/>
      <c r="DQ9" s="192"/>
      <c r="DR9" s="192"/>
      <c r="DS9" s="192"/>
      <c r="DT9" s="192"/>
      <c r="DU9" s="192"/>
      <c r="DV9" s="192"/>
      <c r="DW9" s="192"/>
      <c r="DX9" s="192"/>
      <c r="DY9" s="192"/>
      <c r="DZ9" s="192"/>
      <c r="EA9" s="192"/>
      <c r="EB9" s="192"/>
      <c r="EC9" s="192"/>
      <c r="ED9" s="192"/>
      <c r="EE9" s="192"/>
    </row>
    <row r="10" spans="1:135">
      <c r="A10" s="201">
        <v>43468</v>
      </c>
      <c r="B10" s="192">
        <f t="shared" si="0"/>
        <v>0.52800000000000002</v>
      </c>
      <c r="C10" s="192">
        <f t="shared" si="0"/>
        <v>0.40200000000000002</v>
      </c>
      <c r="D10" s="192">
        <f t="shared" si="0"/>
        <v>0.53</v>
      </c>
      <c r="E10" s="192">
        <f t="shared" si="0"/>
        <v>0.43799999999999989</v>
      </c>
      <c r="F10" s="192">
        <f t="shared" si="0"/>
        <v>0.315</v>
      </c>
      <c r="G10" s="192">
        <f t="shared" si="0"/>
        <v>0.42400000000000004</v>
      </c>
      <c r="H10" s="192">
        <f t="shared" si="0"/>
        <v>0.42699999999999994</v>
      </c>
      <c r="I10" s="194"/>
      <c r="J10" s="195"/>
      <c r="K10" s="192"/>
      <c r="L10" s="192"/>
      <c r="M10" s="192"/>
      <c r="N10" s="192"/>
      <c r="O10" s="192"/>
      <c r="P10" s="193"/>
      <c r="Q10" s="194"/>
      <c r="R10" s="195"/>
      <c r="S10" s="192"/>
      <c r="T10" s="192"/>
      <c r="U10" s="192"/>
      <c r="V10" s="192"/>
      <c r="W10" s="192"/>
      <c r="X10" s="193"/>
      <c r="Y10" s="198">
        <v>41642</v>
      </c>
      <c r="Z10" s="195">
        <v>0.37</v>
      </c>
      <c r="AA10" s="195">
        <v>0.32</v>
      </c>
      <c r="AB10" s="195">
        <v>0.44</v>
      </c>
      <c r="AC10" s="195">
        <v>0.39</v>
      </c>
      <c r="AD10" s="195">
        <v>0.24</v>
      </c>
      <c r="AE10" s="195">
        <v>0.28999999999999998</v>
      </c>
      <c r="AF10" s="193">
        <v>0.34</v>
      </c>
      <c r="AG10" s="198"/>
      <c r="AH10" s="195">
        <f>(AH9+AH11)/2</f>
        <v>0.47</v>
      </c>
      <c r="AI10" s="195">
        <f t="shared" ref="AI10:AN10" si="1">(AI9+AI11)/2</f>
        <v>0.35499999999999998</v>
      </c>
      <c r="AJ10" s="195">
        <f t="shared" si="1"/>
        <v>0.51500000000000001</v>
      </c>
      <c r="AK10" s="195">
        <f t="shared" si="1"/>
        <v>0.435</v>
      </c>
      <c r="AL10" s="195">
        <f t="shared" si="1"/>
        <v>0.35499999999999998</v>
      </c>
      <c r="AM10" s="195">
        <f t="shared" si="1"/>
        <v>0.45999999999999996</v>
      </c>
      <c r="AN10" s="195">
        <f t="shared" si="1"/>
        <v>0.44499999999999995</v>
      </c>
      <c r="AO10" s="198"/>
      <c r="AP10" s="195">
        <f>(AP11+AP9)/2</f>
        <v>0.65999999999999992</v>
      </c>
      <c r="AQ10" s="195">
        <f t="shared" ref="AQ10:AV10" si="2">(AQ11+AQ9)/2</f>
        <v>0.45500000000000002</v>
      </c>
      <c r="AR10" s="195">
        <f t="shared" si="2"/>
        <v>0.55500000000000005</v>
      </c>
      <c r="AS10" s="195">
        <f t="shared" si="2"/>
        <v>0.47499999999999998</v>
      </c>
      <c r="AT10" s="195">
        <f t="shared" si="2"/>
        <v>0.35</v>
      </c>
      <c r="AU10" s="195">
        <f t="shared" si="2"/>
        <v>0.5</v>
      </c>
      <c r="AV10" s="195">
        <f t="shared" si="2"/>
        <v>0.5</v>
      </c>
      <c r="AW10" s="198">
        <v>42736</v>
      </c>
      <c r="AX10" s="195">
        <v>0.54</v>
      </c>
      <c r="AY10" s="192">
        <v>0.38</v>
      </c>
      <c r="AZ10" s="192">
        <v>0.55000000000000004</v>
      </c>
      <c r="BA10" s="192">
        <v>0.42</v>
      </c>
      <c r="BB10" s="192">
        <v>0.31</v>
      </c>
      <c r="BC10" s="192">
        <v>0.41</v>
      </c>
      <c r="BD10" s="193">
        <v>0.42</v>
      </c>
      <c r="BE10" s="198">
        <v>43101</v>
      </c>
      <c r="BF10" s="195">
        <v>0.6</v>
      </c>
      <c r="BG10" s="192">
        <v>0.5</v>
      </c>
      <c r="BH10" s="192">
        <v>0.59</v>
      </c>
      <c r="BI10" s="192">
        <v>0.47</v>
      </c>
      <c r="BJ10" s="192">
        <v>0.32</v>
      </c>
      <c r="BK10" s="192">
        <v>0.46</v>
      </c>
      <c r="BL10" s="193">
        <v>0.43</v>
      </c>
      <c r="BM10" s="197">
        <v>43464</v>
      </c>
      <c r="BN10" s="195">
        <v>0.39</v>
      </c>
      <c r="BO10" s="192">
        <v>0.28000000000000003</v>
      </c>
      <c r="BP10" s="192">
        <v>0.4</v>
      </c>
      <c r="BQ10" s="192">
        <v>0.36</v>
      </c>
      <c r="BR10" s="192">
        <v>0.34</v>
      </c>
      <c r="BS10" s="192">
        <v>0.44</v>
      </c>
      <c r="BT10" s="193">
        <v>0.47</v>
      </c>
      <c r="BU10" s="194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2"/>
      <c r="CR10" s="192"/>
      <c r="CS10" s="192"/>
      <c r="CT10" s="192"/>
      <c r="CU10" s="192"/>
      <c r="CV10" s="192"/>
      <c r="CW10" s="192"/>
      <c r="CX10" s="192"/>
      <c r="CY10" s="192"/>
      <c r="CZ10" s="192"/>
      <c r="DA10" s="192"/>
      <c r="DB10" s="192"/>
      <c r="DC10" s="192"/>
      <c r="DD10" s="192"/>
      <c r="DE10" s="192"/>
      <c r="DF10" s="192"/>
      <c r="DG10" s="192"/>
      <c r="DH10" s="192"/>
      <c r="DI10" s="192"/>
      <c r="DJ10" s="192"/>
      <c r="DK10" s="192"/>
      <c r="DL10" s="192"/>
      <c r="DM10" s="192"/>
      <c r="DN10" s="192"/>
      <c r="DO10" s="192"/>
      <c r="DP10" s="192"/>
      <c r="DQ10" s="192"/>
      <c r="DR10" s="192"/>
      <c r="DS10" s="192"/>
      <c r="DT10" s="192"/>
      <c r="DU10" s="192"/>
      <c r="DV10" s="192"/>
      <c r="DW10" s="192"/>
      <c r="DX10" s="192"/>
      <c r="DY10" s="192"/>
      <c r="DZ10" s="192"/>
      <c r="EA10" s="192"/>
      <c r="EB10" s="192"/>
      <c r="EC10" s="192"/>
      <c r="ED10" s="192"/>
      <c r="EE10" s="192"/>
    </row>
    <row r="11" spans="1:135">
      <c r="A11" s="201">
        <v>43475</v>
      </c>
      <c r="B11" s="192">
        <f t="shared" si="0"/>
        <v>0.58399999999999996</v>
      </c>
      <c r="C11" s="192">
        <f t="shared" si="0"/>
        <v>0.46400000000000008</v>
      </c>
      <c r="D11" s="192">
        <f t="shared" si="0"/>
        <v>0.59399999999999997</v>
      </c>
      <c r="E11" s="192">
        <f t="shared" si="0"/>
        <v>0.49399999999999994</v>
      </c>
      <c r="F11" s="192">
        <f t="shared" si="0"/>
        <v>0.35599999999999998</v>
      </c>
      <c r="G11" s="192">
        <f t="shared" si="0"/>
        <v>0.47000000000000003</v>
      </c>
      <c r="H11" s="192">
        <f t="shared" si="0"/>
        <v>0.46399999999999997</v>
      </c>
      <c r="I11" s="194"/>
      <c r="J11" s="195"/>
      <c r="K11" s="192"/>
      <c r="L11" s="192"/>
      <c r="M11" s="192"/>
      <c r="N11" s="192"/>
      <c r="O11" s="192"/>
      <c r="P11" s="193"/>
      <c r="Q11" s="194"/>
      <c r="R11" s="195"/>
      <c r="S11" s="192"/>
      <c r="T11" s="192"/>
      <c r="U11" s="192"/>
      <c r="V11" s="192"/>
      <c r="W11" s="192"/>
      <c r="X11" s="193"/>
      <c r="Y11" s="198">
        <v>41649</v>
      </c>
      <c r="Z11" s="195">
        <v>0.41</v>
      </c>
      <c r="AA11" s="195">
        <v>0.37</v>
      </c>
      <c r="AB11" s="195">
        <v>0.46</v>
      </c>
      <c r="AC11" s="195">
        <v>0.41</v>
      </c>
      <c r="AD11" s="195">
        <v>0.28000000000000003</v>
      </c>
      <c r="AE11" s="195">
        <v>0.34</v>
      </c>
      <c r="AF11" s="193">
        <v>0.37</v>
      </c>
      <c r="AG11" s="198">
        <v>42014</v>
      </c>
      <c r="AH11" s="195">
        <v>0.51</v>
      </c>
      <c r="AI11" s="192">
        <v>0.4</v>
      </c>
      <c r="AJ11" s="192">
        <v>0.55000000000000004</v>
      </c>
      <c r="AK11" s="192">
        <v>0.47</v>
      </c>
      <c r="AL11" s="192">
        <v>0.38</v>
      </c>
      <c r="AM11" s="192">
        <v>0.49</v>
      </c>
      <c r="AN11" s="193">
        <v>0.47</v>
      </c>
      <c r="AO11" s="198">
        <v>42379</v>
      </c>
      <c r="AP11" s="195">
        <v>0.74</v>
      </c>
      <c r="AQ11" s="192">
        <v>0.55000000000000004</v>
      </c>
      <c r="AR11" s="192">
        <v>0.66</v>
      </c>
      <c r="AS11" s="192">
        <v>0.56999999999999995</v>
      </c>
      <c r="AT11" s="192">
        <v>0.39</v>
      </c>
      <c r="AU11" s="192">
        <v>0.55000000000000004</v>
      </c>
      <c r="AV11" s="193">
        <v>0.54</v>
      </c>
      <c r="AW11" s="198">
        <v>42743</v>
      </c>
      <c r="AX11" s="195">
        <v>0.6</v>
      </c>
      <c r="AY11" s="192">
        <v>0.45</v>
      </c>
      <c r="AZ11" s="192">
        <v>0.63</v>
      </c>
      <c r="BA11" s="192">
        <v>0.49</v>
      </c>
      <c r="BB11" s="192">
        <v>0.35</v>
      </c>
      <c r="BC11" s="192">
        <v>0.45</v>
      </c>
      <c r="BD11" s="193">
        <v>0.46</v>
      </c>
      <c r="BE11" s="198">
        <v>43107</v>
      </c>
      <c r="BF11" s="195">
        <v>0.66</v>
      </c>
      <c r="BG11" s="192">
        <v>0.55000000000000004</v>
      </c>
      <c r="BH11" s="192">
        <v>0.67</v>
      </c>
      <c r="BI11" s="192">
        <v>0.53</v>
      </c>
      <c r="BJ11" s="192">
        <v>0.38</v>
      </c>
      <c r="BK11" s="192">
        <v>0.52</v>
      </c>
      <c r="BL11" s="193">
        <v>0.48</v>
      </c>
      <c r="BM11" s="197">
        <v>43471</v>
      </c>
      <c r="BN11" s="195">
        <v>0.43</v>
      </c>
      <c r="BO11" s="192">
        <v>0.33</v>
      </c>
      <c r="BP11" s="192">
        <v>0.45</v>
      </c>
      <c r="BQ11" s="192">
        <v>0.4</v>
      </c>
      <c r="BR11" s="192">
        <v>0.38</v>
      </c>
      <c r="BS11" s="192">
        <v>0.47</v>
      </c>
      <c r="BT11" s="193">
        <v>0.5</v>
      </c>
      <c r="BU11" s="194"/>
      <c r="BV11" s="192"/>
      <c r="BW11" s="192"/>
      <c r="BX11" s="192"/>
      <c r="BY11" s="192"/>
      <c r="BZ11" s="192"/>
      <c r="CA11" s="192"/>
      <c r="CB11" s="192"/>
      <c r="CC11" s="192"/>
      <c r="CD11" s="192"/>
      <c r="CE11" s="192"/>
      <c r="CF11" s="192"/>
      <c r="CG11" s="192"/>
      <c r="CH11" s="192"/>
      <c r="CI11" s="192"/>
      <c r="CJ11" s="192"/>
      <c r="CK11" s="192"/>
      <c r="CL11" s="192"/>
      <c r="CM11" s="192"/>
      <c r="CN11" s="192"/>
      <c r="CO11" s="192"/>
      <c r="CP11" s="192"/>
      <c r="CQ11" s="192"/>
      <c r="CR11" s="192"/>
      <c r="CS11" s="192"/>
      <c r="CT11" s="192"/>
      <c r="CU11" s="192"/>
      <c r="CV11" s="192"/>
      <c r="CW11" s="192"/>
      <c r="CX11" s="192"/>
      <c r="CY11" s="192"/>
      <c r="CZ11" s="192"/>
      <c r="DA11" s="192"/>
      <c r="DB11" s="192"/>
      <c r="DC11" s="192"/>
      <c r="DD11" s="192"/>
      <c r="DE11" s="192"/>
      <c r="DF11" s="192"/>
      <c r="DG11" s="192"/>
      <c r="DH11" s="192"/>
      <c r="DI11" s="192"/>
      <c r="DJ11" s="192"/>
      <c r="DK11" s="192"/>
      <c r="DL11" s="192"/>
      <c r="DM11" s="192"/>
      <c r="DN11" s="192"/>
      <c r="DO11" s="192"/>
      <c r="DP11" s="192"/>
      <c r="DQ11" s="192"/>
      <c r="DR11" s="192"/>
      <c r="DS11" s="192"/>
      <c r="DT11" s="192"/>
      <c r="DU11" s="192"/>
      <c r="DV11" s="192"/>
      <c r="DW11" s="192"/>
      <c r="DX11" s="192"/>
      <c r="DY11" s="192"/>
      <c r="DZ11" s="192"/>
      <c r="EA11" s="192"/>
      <c r="EB11" s="192"/>
      <c r="EC11" s="192"/>
      <c r="ED11" s="192"/>
      <c r="EE11" s="192"/>
    </row>
    <row r="12" spans="1:135">
      <c r="A12" s="201">
        <v>43482</v>
      </c>
      <c r="B12" s="192">
        <f t="shared" si="0"/>
        <v>0.63400000000000001</v>
      </c>
      <c r="C12" s="192">
        <f t="shared" si="0"/>
        <v>0.52399999999999991</v>
      </c>
      <c r="D12" s="192">
        <f t="shared" si="0"/>
        <v>0.64600000000000013</v>
      </c>
      <c r="E12" s="192">
        <f t="shared" si="0"/>
        <v>0.54600000000000004</v>
      </c>
      <c r="F12" s="192">
        <f t="shared" si="0"/>
        <v>0.39600000000000002</v>
      </c>
      <c r="G12" s="192">
        <f t="shared" si="0"/>
        <v>0.51</v>
      </c>
      <c r="H12" s="192">
        <f t="shared" si="0"/>
        <v>0.502</v>
      </c>
      <c r="I12" s="194"/>
      <c r="J12" s="195"/>
      <c r="K12" s="192"/>
      <c r="L12" s="192"/>
      <c r="M12" s="192"/>
      <c r="N12" s="192"/>
      <c r="O12" s="192"/>
      <c r="P12" s="193"/>
      <c r="Q12" s="194"/>
      <c r="R12" s="195"/>
      <c r="S12" s="192"/>
      <c r="T12" s="192"/>
      <c r="U12" s="192"/>
      <c r="V12" s="192"/>
      <c r="W12" s="192"/>
      <c r="X12" s="193"/>
      <c r="Y12" s="198">
        <v>41656</v>
      </c>
      <c r="Z12" s="195">
        <v>0.46</v>
      </c>
      <c r="AA12" s="195">
        <v>0.44</v>
      </c>
      <c r="AB12" s="195">
        <v>0.51</v>
      </c>
      <c r="AC12" s="195">
        <v>0.45</v>
      </c>
      <c r="AD12" s="195">
        <v>0.3</v>
      </c>
      <c r="AE12" s="195">
        <v>0.38</v>
      </c>
      <c r="AF12" s="193">
        <v>0.4</v>
      </c>
      <c r="AG12" s="198">
        <v>42021</v>
      </c>
      <c r="AH12" s="195">
        <v>0.57999999999999996</v>
      </c>
      <c r="AI12" s="192">
        <v>0.47</v>
      </c>
      <c r="AJ12" s="192">
        <v>0.61</v>
      </c>
      <c r="AK12" s="192">
        <v>0.54</v>
      </c>
      <c r="AL12" s="192">
        <v>0.43</v>
      </c>
      <c r="AM12" s="192">
        <v>0.53</v>
      </c>
      <c r="AN12" s="193">
        <v>0.51</v>
      </c>
      <c r="AO12" s="198">
        <v>42386</v>
      </c>
      <c r="AP12" s="195">
        <v>0.79</v>
      </c>
      <c r="AQ12" s="192">
        <v>0.62</v>
      </c>
      <c r="AR12" s="192">
        <v>0.71</v>
      </c>
      <c r="AS12" s="192">
        <v>0.63</v>
      </c>
      <c r="AT12" s="192">
        <v>0.44</v>
      </c>
      <c r="AU12" s="192">
        <v>0.59</v>
      </c>
      <c r="AV12" s="193">
        <v>0.57999999999999996</v>
      </c>
      <c r="AW12" s="198">
        <v>42750</v>
      </c>
      <c r="AX12" s="195">
        <v>0.62</v>
      </c>
      <c r="AY12" s="192">
        <v>0.47</v>
      </c>
      <c r="AZ12" s="192">
        <v>0.66</v>
      </c>
      <c r="BA12" s="192">
        <v>0.51</v>
      </c>
      <c r="BB12" s="192">
        <v>0.37</v>
      </c>
      <c r="BC12" s="192">
        <v>0.47</v>
      </c>
      <c r="BD12" s="193">
        <v>0.48</v>
      </c>
      <c r="BE12" s="198">
        <v>43114</v>
      </c>
      <c r="BF12" s="195">
        <v>0.72</v>
      </c>
      <c r="BG12" s="192">
        <v>0.62</v>
      </c>
      <c r="BH12" s="192">
        <v>0.74</v>
      </c>
      <c r="BI12" s="192">
        <v>0.6</v>
      </c>
      <c r="BJ12" s="192">
        <v>0.44</v>
      </c>
      <c r="BK12" s="192">
        <v>0.57999999999999996</v>
      </c>
      <c r="BL12" s="193">
        <v>0.54</v>
      </c>
      <c r="BM12" s="197">
        <v>43478</v>
      </c>
      <c r="BN12" s="195">
        <v>0.47</v>
      </c>
      <c r="BO12" s="192">
        <v>0.38</v>
      </c>
      <c r="BP12" s="192">
        <v>0.5</v>
      </c>
      <c r="BQ12" s="192">
        <v>0.44</v>
      </c>
      <c r="BR12" s="192">
        <v>0.45</v>
      </c>
      <c r="BS12" s="192">
        <v>0.51</v>
      </c>
      <c r="BT12" s="193">
        <v>0.55000000000000004</v>
      </c>
      <c r="BU12" s="194"/>
      <c r="BV12" s="192"/>
      <c r="BW12" s="192"/>
      <c r="BX12" s="192"/>
      <c r="BY12" s="192"/>
      <c r="BZ12" s="192"/>
      <c r="CA12" s="192"/>
      <c r="CB12" s="192"/>
      <c r="CC12" s="192"/>
      <c r="CD12" s="192"/>
      <c r="CE12" s="192"/>
      <c r="CF12" s="192"/>
      <c r="CG12" s="192"/>
      <c r="CH12" s="192"/>
      <c r="CI12" s="192"/>
      <c r="CJ12" s="192"/>
      <c r="CK12" s="192"/>
      <c r="CL12" s="192"/>
      <c r="CM12" s="192"/>
      <c r="CN12" s="192"/>
      <c r="CO12" s="192"/>
      <c r="CP12" s="192"/>
      <c r="CQ12" s="192"/>
      <c r="CR12" s="192"/>
      <c r="CS12" s="192"/>
      <c r="CT12" s="192"/>
      <c r="CU12" s="192"/>
      <c r="CV12" s="192"/>
      <c r="CW12" s="192"/>
      <c r="CX12" s="192"/>
      <c r="CY12" s="192"/>
      <c r="CZ12" s="192"/>
      <c r="DA12" s="192"/>
      <c r="DB12" s="192"/>
      <c r="DC12" s="192"/>
      <c r="DD12" s="192"/>
      <c r="DE12" s="192"/>
      <c r="DF12" s="192"/>
      <c r="DG12" s="192"/>
      <c r="DH12" s="192"/>
      <c r="DI12" s="192"/>
      <c r="DJ12" s="192"/>
      <c r="DK12" s="192"/>
      <c r="DL12" s="192"/>
      <c r="DM12" s="192"/>
      <c r="DN12" s="192"/>
      <c r="DO12" s="192"/>
      <c r="DP12" s="192"/>
      <c r="DQ12" s="192"/>
      <c r="DR12" s="192"/>
      <c r="DS12" s="192"/>
      <c r="DT12" s="192"/>
      <c r="DU12" s="192"/>
      <c r="DV12" s="192"/>
      <c r="DW12" s="192"/>
      <c r="DX12" s="192"/>
      <c r="DY12" s="192"/>
      <c r="DZ12" s="192"/>
      <c r="EA12" s="192"/>
      <c r="EB12" s="192"/>
      <c r="EC12" s="192"/>
      <c r="ED12" s="192"/>
      <c r="EE12" s="192"/>
    </row>
    <row r="13" spans="1:135">
      <c r="A13" s="201">
        <v>43489</v>
      </c>
      <c r="B13" s="192">
        <f t="shared" si="0"/>
        <v>0.67133333333333334</v>
      </c>
      <c r="C13" s="192">
        <f t="shared" si="0"/>
        <v>0.56733333333333336</v>
      </c>
      <c r="D13" s="192">
        <f t="shared" si="0"/>
        <v>0.69000000000000006</v>
      </c>
      <c r="E13" s="192">
        <f t="shared" si="0"/>
        <v>0.59000000000000008</v>
      </c>
      <c r="F13" s="192">
        <f t="shared" si="0"/>
        <v>0.42199999999999999</v>
      </c>
      <c r="G13" s="192">
        <f t="shared" si="0"/>
        <v>0.52800000000000002</v>
      </c>
      <c r="H13" s="192">
        <f t="shared" si="0"/>
        <v>0.5193333333333332</v>
      </c>
      <c r="I13" s="194"/>
      <c r="J13" s="195"/>
      <c r="K13" s="192"/>
      <c r="L13" s="192"/>
      <c r="M13" s="192"/>
      <c r="N13" s="192"/>
      <c r="O13" s="192"/>
      <c r="P13" s="193"/>
      <c r="Q13" s="194"/>
      <c r="R13" s="195"/>
      <c r="S13" s="192"/>
      <c r="T13" s="192"/>
      <c r="U13" s="192"/>
      <c r="V13" s="192"/>
      <c r="W13" s="192"/>
      <c r="X13" s="193"/>
      <c r="Y13" s="198"/>
      <c r="Z13" s="203">
        <f>Z12+(Z15-Z12)/3</f>
        <v>0.48666666666666669</v>
      </c>
      <c r="AA13" s="203">
        <f t="shared" ref="AA13:AE13" si="3">AA12+(AA15-AA12)/3</f>
        <v>0.46666666666666667</v>
      </c>
      <c r="AB13" s="203">
        <f t="shared" si="3"/>
        <v>0.53</v>
      </c>
      <c r="AC13" s="203">
        <f t="shared" si="3"/>
        <v>0.48000000000000004</v>
      </c>
      <c r="AD13" s="203">
        <f t="shared" si="3"/>
        <v>0.31</v>
      </c>
      <c r="AE13" s="203">
        <f t="shared" si="3"/>
        <v>0.39</v>
      </c>
      <c r="AF13" s="203">
        <f>AF12+(AF15-AF12)/3</f>
        <v>0.40666666666666668</v>
      </c>
      <c r="AG13" s="198">
        <v>42028</v>
      </c>
      <c r="AH13" s="195">
        <v>0.64</v>
      </c>
      <c r="AI13" s="192">
        <v>0.52</v>
      </c>
      <c r="AJ13" s="192">
        <v>0.67</v>
      </c>
      <c r="AK13" s="192">
        <v>0.61</v>
      </c>
      <c r="AL13" s="192">
        <v>0.47</v>
      </c>
      <c r="AM13" s="192">
        <v>0.55000000000000004</v>
      </c>
      <c r="AN13" s="193">
        <v>0.53</v>
      </c>
      <c r="AO13" s="198">
        <v>42393</v>
      </c>
      <c r="AP13" s="195">
        <v>0.84</v>
      </c>
      <c r="AQ13" s="192">
        <v>0.69</v>
      </c>
      <c r="AR13" s="192">
        <v>0.77</v>
      </c>
      <c r="AS13" s="192">
        <v>0.68</v>
      </c>
      <c r="AT13" s="192">
        <v>0.47</v>
      </c>
      <c r="AU13" s="192">
        <v>0.61</v>
      </c>
      <c r="AV13" s="193">
        <v>0.6</v>
      </c>
      <c r="AW13" s="198">
        <v>42757</v>
      </c>
      <c r="AX13" s="195">
        <v>0.63</v>
      </c>
      <c r="AY13" s="192">
        <v>0.49</v>
      </c>
      <c r="AZ13" s="192">
        <v>0.68</v>
      </c>
      <c r="BA13" s="192">
        <v>0.52</v>
      </c>
      <c r="BB13" s="192">
        <v>0.38</v>
      </c>
      <c r="BC13" s="192">
        <v>0.48</v>
      </c>
      <c r="BD13" s="193">
        <v>0.49</v>
      </c>
      <c r="BE13" s="198">
        <v>43121</v>
      </c>
      <c r="BF13" s="195">
        <v>0.76</v>
      </c>
      <c r="BG13" s="192">
        <v>0.67</v>
      </c>
      <c r="BH13" s="192">
        <v>0.8</v>
      </c>
      <c r="BI13" s="192">
        <v>0.66</v>
      </c>
      <c r="BJ13" s="192">
        <v>0.48</v>
      </c>
      <c r="BK13" s="192">
        <v>0.61</v>
      </c>
      <c r="BL13" s="193">
        <v>0.56999999999999995</v>
      </c>
      <c r="BM13" s="197">
        <v>43485</v>
      </c>
      <c r="BN13" s="195">
        <v>0.52</v>
      </c>
      <c r="BO13" s="192">
        <v>0.44</v>
      </c>
      <c r="BP13" s="192">
        <v>0.56000000000000005</v>
      </c>
      <c r="BQ13" s="192">
        <v>0.5</v>
      </c>
      <c r="BR13" s="192">
        <v>0.5</v>
      </c>
      <c r="BS13" s="192">
        <v>0.56000000000000005</v>
      </c>
      <c r="BT13" s="193">
        <v>0.6</v>
      </c>
      <c r="BU13" s="194"/>
      <c r="BV13" s="192"/>
      <c r="BW13" s="192"/>
      <c r="BX13" s="192"/>
      <c r="BY13" s="192"/>
      <c r="BZ13" s="192"/>
      <c r="CA13" s="192"/>
      <c r="CB13" s="192"/>
      <c r="CC13" s="192"/>
      <c r="CD13" s="192"/>
      <c r="CE13" s="192"/>
      <c r="CF13" s="192"/>
      <c r="CG13" s="192"/>
      <c r="CH13" s="192"/>
      <c r="CI13" s="192"/>
      <c r="CJ13" s="192"/>
      <c r="CK13" s="192"/>
      <c r="CL13" s="192"/>
      <c r="CM13" s="192"/>
      <c r="CN13" s="192"/>
      <c r="CO13" s="192"/>
      <c r="CP13" s="192"/>
      <c r="CQ13" s="192"/>
      <c r="CR13" s="192"/>
      <c r="CS13" s="192"/>
      <c r="CT13" s="192"/>
      <c r="CU13" s="192"/>
      <c r="CV13" s="192"/>
      <c r="CW13" s="192"/>
      <c r="CX13" s="192"/>
      <c r="CY13" s="192"/>
      <c r="CZ13" s="192"/>
      <c r="DA13" s="192"/>
      <c r="DB13" s="192"/>
      <c r="DC13" s="192"/>
      <c r="DD13" s="192"/>
      <c r="DE13" s="192"/>
      <c r="DF13" s="192"/>
      <c r="DG13" s="192"/>
      <c r="DH13" s="192"/>
      <c r="DI13" s="192"/>
      <c r="DJ13" s="192"/>
      <c r="DK13" s="192"/>
      <c r="DL13" s="192"/>
      <c r="DM13" s="192"/>
      <c r="DN13" s="192"/>
      <c r="DO13" s="192"/>
      <c r="DP13" s="192"/>
      <c r="DQ13" s="192"/>
      <c r="DR13" s="192"/>
      <c r="DS13" s="192"/>
      <c r="DT13" s="192"/>
      <c r="DU13" s="192"/>
      <c r="DV13" s="192"/>
      <c r="DW13" s="192"/>
      <c r="DX13" s="192"/>
      <c r="DY13" s="192"/>
      <c r="DZ13" s="192"/>
      <c r="EA13" s="192"/>
      <c r="EB13" s="192"/>
      <c r="EC13" s="192"/>
      <c r="ED13" s="192"/>
      <c r="EE13" s="192"/>
    </row>
    <row r="14" spans="1:135">
      <c r="A14" s="201">
        <v>43496</v>
      </c>
      <c r="B14" s="192">
        <f t="shared" si="0"/>
        <v>0.70466666666666666</v>
      </c>
      <c r="C14" s="192">
        <f t="shared" si="0"/>
        <v>0.60266666666666668</v>
      </c>
      <c r="D14" s="192">
        <f t="shared" si="0"/>
        <v>0.73199999999999998</v>
      </c>
      <c r="E14" s="192">
        <f t="shared" si="0"/>
        <v>0.62399999999999989</v>
      </c>
      <c r="F14" s="192">
        <f t="shared" si="0"/>
        <v>0.44600000000000006</v>
      </c>
      <c r="G14" s="192">
        <f t="shared" si="0"/>
        <v>0.55000000000000004</v>
      </c>
      <c r="H14" s="192">
        <f t="shared" si="0"/>
        <v>0.53466666666666662</v>
      </c>
      <c r="I14" s="194"/>
      <c r="J14" s="195"/>
      <c r="K14" s="192"/>
      <c r="L14" s="192"/>
      <c r="M14" s="192"/>
      <c r="N14" s="192"/>
      <c r="O14" s="192"/>
      <c r="P14" s="193"/>
      <c r="Q14" s="194"/>
      <c r="R14" s="195"/>
      <c r="S14" s="192"/>
      <c r="T14" s="192"/>
      <c r="U14" s="192"/>
      <c r="V14" s="192"/>
      <c r="W14" s="192"/>
      <c r="X14" s="193"/>
      <c r="Y14" s="198"/>
      <c r="Z14" s="203">
        <f>Z12+(Z15-Z12)/3*2</f>
        <v>0.51333333333333342</v>
      </c>
      <c r="AA14" s="203">
        <f t="shared" ref="AA14:AE14" si="4">AA12+(AA15-AA12)/3*2</f>
        <v>0.49333333333333335</v>
      </c>
      <c r="AB14" s="203">
        <f t="shared" si="4"/>
        <v>0.54999999999999993</v>
      </c>
      <c r="AC14" s="203">
        <f t="shared" si="4"/>
        <v>0.51</v>
      </c>
      <c r="AD14" s="203">
        <f t="shared" si="4"/>
        <v>0.32</v>
      </c>
      <c r="AE14" s="203">
        <f t="shared" si="4"/>
        <v>0.39999999999999997</v>
      </c>
      <c r="AF14" s="203">
        <f>AF12+(AF15-AF12)/3*2</f>
        <v>0.41333333333333333</v>
      </c>
      <c r="AG14" s="198">
        <v>42035</v>
      </c>
      <c r="AH14" s="195">
        <v>0.69</v>
      </c>
      <c r="AI14" s="192">
        <v>0.56000000000000005</v>
      </c>
      <c r="AJ14" s="192">
        <v>0.72</v>
      </c>
      <c r="AK14" s="192">
        <v>0.66</v>
      </c>
      <c r="AL14" s="192">
        <v>0.5</v>
      </c>
      <c r="AM14" s="192">
        <v>0.56999999999999995</v>
      </c>
      <c r="AN14" s="193">
        <v>0.55000000000000004</v>
      </c>
      <c r="AO14" s="198">
        <v>42400</v>
      </c>
      <c r="AP14" s="195">
        <v>0.88</v>
      </c>
      <c r="AQ14" s="192">
        <v>0.75</v>
      </c>
      <c r="AR14" s="192">
        <v>0.84</v>
      </c>
      <c r="AS14" s="192">
        <v>0.73</v>
      </c>
      <c r="AT14" s="192">
        <v>0.5</v>
      </c>
      <c r="AU14" s="192">
        <v>0.63</v>
      </c>
      <c r="AV14" s="193">
        <v>0.62</v>
      </c>
      <c r="AW14" s="198">
        <v>42778</v>
      </c>
      <c r="AX14" s="195">
        <v>0.65</v>
      </c>
      <c r="AY14" s="192">
        <v>0.51</v>
      </c>
      <c r="AZ14" s="192">
        <v>0.71</v>
      </c>
      <c r="BA14" s="192">
        <v>0.53</v>
      </c>
      <c r="BB14" s="192">
        <v>0.4</v>
      </c>
      <c r="BC14" s="192">
        <v>0.52</v>
      </c>
      <c r="BD14" s="193">
        <v>0.5</v>
      </c>
      <c r="BE14" s="198">
        <v>43128</v>
      </c>
      <c r="BF14" s="195">
        <v>0.79</v>
      </c>
      <c r="BG14" s="192">
        <v>0.7</v>
      </c>
      <c r="BH14" s="192">
        <v>0.84</v>
      </c>
      <c r="BI14" s="192">
        <v>0.69</v>
      </c>
      <c r="BJ14" s="192">
        <v>0.51</v>
      </c>
      <c r="BK14" s="192">
        <v>0.63</v>
      </c>
      <c r="BL14" s="193">
        <v>0.59</v>
      </c>
      <c r="BM14" s="197">
        <v>43492</v>
      </c>
      <c r="BN14" s="195">
        <v>0.56999999999999995</v>
      </c>
      <c r="BO14" s="192">
        <v>0.5</v>
      </c>
      <c r="BP14" s="192">
        <v>0.63</v>
      </c>
      <c r="BQ14" s="192">
        <v>0.56000000000000005</v>
      </c>
      <c r="BR14" s="192">
        <v>0.54</v>
      </c>
      <c r="BS14" s="192">
        <v>0.59</v>
      </c>
      <c r="BT14" s="193">
        <v>0.63</v>
      </c>
      <c r="BU14" s="194"/>
      <c r="BV14" s="192"/>
      <c r="BW14" s="192"/>
      <c r="BX14" s="192"/>
      <c r="BY14" s="192"/>
      <c r="BZ14" s="192"/>
      <c r="CA14" s="192"/>
      <c r="CB14" s="192"/>
      <c r="CC14" s="192"/>
      <c r="CD14" s="192"/>
      <c r="CE14" s="192"/>
      <c r="CF14" s="192"/>
      <c r="CG14" s="192"/>
      <c r="CH14" s="192"/>
      <c r="CI14" s="192"/>
      <c r="CJ14" s="192"/>
      <c r="CK14" s="192"/>
      <c r="CL14" s="192"/>
      <c r="CM14" s="192"/>
      <c r="CN14" s="192"/>
      <c r="CO14" s="192"/>
      <c r="CP14" s="192"/>
      <c r="CQ14" s="192"/>
      <c r="CR14" s="192"/>
      <c r="CS14" s="192"/>
      <c r="CT14" s="192"/>
      <c r="CU14" s="192"/>
      <c r="CV14" s="192"/>
      <c r="CW14" s="192"/>
      <c r="CX14" s="192"/>
      <c r="CY14" s="192"/>
      <c r="CZ14" s="192"/>
      <c r="DA14" s="192"/>
      <c r="DB14" s="192"/>
      <c r="DC14" s="192"/>
      <c r="DD14" s="192"/>
      <c r="DE14" s="192"/>
      <c r="DF14" s="192"/>
      <c r="DG14" s="192"/>
      <c r="DH14" s="192"/>
      <c r="DI14" s="192"/>
      <c r="DJ14" s="192"/>
      <c r="DK14" s="192"/>
      <c r="DL14" s="192"/>
      <c r="DM14" s="192"/>
      <c r="DN14" s="192"/>
      <c r="DO14" s="192"/>
      <c r="DP14" s="192"/>
      <c r="DQ14" s="192"/>
      <c r="DR14" s="192"/>
      <c r="DS14" s="192"/>
      <c r="DT14" s="192"/>
      <c r="DU14" s="192"/>
      <c r="DV14" s="192"/>
      <c r="DW14" s="192"/>
      <c r="DX14" s="192"/>
      <c r="DY14" s="192"/>
      <c r="DZ14" s="192"/>
      <c r="EA14" s="192"/>
      <c r="EB14" s="192"/>
      <c r="EC14" s="192"/>
      <c r="ED14" s="192"/>
      <c r="EE14" s="192"/>
    </row>
    <row r="15" spans="1:135">
      <c r="A15" s="201">
        <v>43503</v>
      </c>
      <c r="B15" s="192">
        <f t="shared" si="0"/>
        <v>0.72799999999999998</v>
      </c>
      <c r="C15" s="192">
        <f t="shared" si="0"/>
        <v>0.625</v>
      </c>
      <c r="D15" s="192">
        <f t="shared" si="0"/>
        <v>0.755</v>
      </c>
      <c r="E15" s="192">
        <f t="shared" si="0"/>
        <v>0.64800000000000002</v>
      </c>
      <c r="F15" s="192">
        <f t="shared" si="0"/>
        <v>0.46200000000000002</v>
      </c>
      <c r="G15" s="192">
        <f t="shared" si="0"/>
        <v>0.56699999999999995</v>
      </c>
      <c r="H15" s="192">
        <f t="shared" si="0"/>
        <v>0.54899999999999993</v>
      </c>
      <c r="I15" s="194"/>
      <c r="J15" s="195"/>
      <c r="K15" s="192"/>
      <c r="L15" s="192"/>
      <c r="M15" s="192"/>
      <c r="N15" s="192"/>
      <c r="O15" s="192"/>
      <c r="P15" s="193"/>
      <c r="Q15" s="194"/>
      <c r="R15" s="195"/>
      <c r="S15" s="192"/>
      <c r="T15" s="192"/>
      <c r="U15" s="192"/>
      <c r="V15" s="192"/>
      <c r="W15" s="192"/>
      <c r="X15" s="193"/>
      <c r="Y15" s="198">
        <v>41684</v>
      </c>
      <c r="Z15" s="195">
        <v>0.54</v>
      </c>
      <c r="AA15" s="195">
        <v>0.52</v>
      </c>
      <c r="AB15" s="195">
        <v>0.56999999999999995</v>
      </c>
      <c r="AC15" s="195">
        <v>0.54</v>
      </c>
      <c r="AD15" s="195">
        <v>0.33</v>
      </c>
      <c r="AE15" s="195">
        <v>0.41</v>
      </c>
      <c r="AF15" s="193">
        <v>0.42</v>
      </c>
      <c r="AG15" s="198">
        <v>42042</v>
      </c>
      <c r="AH15" s="195">
        <v>0.74</v>
      </c>
      <c r="AI15" s="192">
        <v>0.6</v>
      </c>
      <c r="AJ15" s="192">
        <v>0.75</v>
      </c>
      <c r="AK15" s="192">
        <v>0.7</v>
      </c>
      <c r="AL15" s="192">
        <v>0.54</v>
      </c>
      <c r="AM15" s="192">
        <v>0.61</v>
      </c>
      <c r="AN15" s="193">
        <v>0.57999999999999996</v>
      </c>
      <c r="AO15" s="198"/>
      <c r="AP15" s="195">
        <f>(AP16+AP14)/2</f>
        <v>0.88500000000000001</v>
      </c>
      <c r="AQ15" s="195">
        <f t="shared" ref="AQ15:AV15" si="5">(AQ16+AQ14)/2</f>
        <v>0.76</v>
      </c>
      <c r="AR15" s="195">
        <f t="shared" si="5"/>
        <v>0.85</v>
      </c>
      <c r="AS15" s="195">
        <f t="shared" si="5"/>
        <v>0.74</v>
      </c>
      <c r="AT15" s="195">
        <f t="shared" si="5"/>
        <v>0.505</v>
      </c>
      <c r="AU15" s="195">
        <f t="shared" si="5"/>
        <v>0.63500000000000001</v>
      </c>
      <c r="AV15" s="195">
        <f t="shared" si="5"/>
        <v>0.625</v>
      </c>
      <c r="AW15" s="198"/>
      <c r="AX15" s="195">
        <f>(AX16+AX14)/2</f>
        <v>0.66500000000000004</v>
      </c>
      <c r="AY15" s="195">
        <f t="shared" ref="AY15:BD15" si="6">(AY16+AY14)/2</f>
        <v>0.52500000000000002</v>
      </c>
      <c r="AZ15" s="195">
        <f t="shared" si="6"/>
        <v>0.73499999999999999</v>
      </c>
      <c r="BA15" s="195">
        <f t="shared" si="6"/>
        <v>0.55000000000000004</v>
      </c>
      <c r="BB15" s="195">
        <f t="shared" si="6"/>
        <v>0.41500000000000004</v>
      </c>
      <c r="BC15" s="195">
        <f t="shared" si="6"/>
        <v>0.53</v>
      </c>
      <c r="BD15" s="195">
        <f t="shared" si="6"/>
        <v>0.51</v>
      </c>
      <c r="BE15" s="198">
        <v>43135</v>
      </c>
      <c r="BF15" s="195">
        <v>0.81</v>
      </c>
      <c r="BG15" s="192">
        <v>0.72</v>
      </c>
      <c r="BH15" s="192">
        <v>0.87</v>
      </c>
      <c r="BI15" s="192">
        <v>0.71</v>
      </c>
      <c r="BJ15" s="192">
        <v>0.52</v>
      </c>
      <c r="BK15" s="192">
        <v>0.65</v>
      </c>
      <c r="BL15" s="193">
        <v>0.61</v>
      </c>
      <c r="BM15" s="197">
        <v>43511</v>
      </c>
      <c r="BN15" s="195">
        <v>0.59</v>
      </c>
      <c r="BO15" s="192">
        <v>0.51</v>
      </c>
      <c r="BP15" s="192">
        <v>0.65</v>
      </c>
      <c r="BQ15" s="192">
        <v>0.57999999999999996</v>
      </c>
      <c r="BR15" s="192">
        <v>0.55000000000000004</v>
      </c>
      <c r="BS15" s="192">
        <v>0.6</v>
      </c>
      <c r="BT15" s="193">
        <v>0.64</v>
      </c>
      <c r="BU15" s="194"/>
      <c r="BV15" s="192"/>
      <c r="BW15" s="192"/>
      <c r="BX15" s="192"/>
      <c r="BY15" s="192"/>
      <c r="BZ15" s="192"/>
      <c r="CA15" s="192"/>
      <c r="CB15" s="192"/>
      <c r="CC15" s="192"/>
      <c r="CD15" s="192"/>
      <c r="CE15" s="192"/>
      <c r="CF15" s="192"/>
      <c r="CG15" s="192"/>
      <c r="CH15" s="192"/>
      <c r="CI15" s="192"/>
      <c r="CJ15" s="192"/>
      <c r="CK15" s="192"/>
      <c r="CL15" s="192"/>
      <c r="CM15" s="192"/>
      <c r="CN15" s="192"/>
      <c r="CO15" s="192"/>
      <c r="CP15" s="192"/>
      <c r="CQ15" s="192"/>
      <c r="CR15" s="192"/>
      <c r="CS15" s="192"/>
      <c r="CT15" s="192"/>
      <c r="CU15" s="192"/>
      <c r="CV15" s="192"/>
      <c r="CW15" s="192"/>
      <c r="CX15" s="192"/>
      <c r="CY15" s="192"/>
      <c r="CZ15" s="192"/>
      <c r="DA15" s="192"/>
      <c r="DB15" s="192"/>
      <c r="DC15" s="192"/>
      <c r="DD15" s="192"/>
      <c r="DE15" s="192"/>
      <c r="DF15" s="192"/>
      <c r="DG15" s="192"/>
      <c r="DH15" s="192"/>
      <c r="DI15" s="192"/>
      <c r="DJ15" s="192"/>
      <c r="DK15" s="192"/>
      <c r="DL15" s="192"/>
      <c r="DM15" s="192"/>
      <c r="DN15" s="192"/>
      <c r="DO15" s="192"/>
      <c r="DP15" s="192"/>
      <c r="DQ15" s="192"/>
      <c r="DR15" s="192"/>
      <c r="DS15" s="192"/>
      <c r="DT15" s="192"/>
      <c r="DU15" s="192"/>
      <c r="DV15" s="192"/>
      <c r="DW15" s="192"/>
      <c r="DX15" s="192"/>
      <c r="DY15" s="192"/>
      <c r="DZ15" s="192"/>
      <c r="EA15" s="192"/>
      <c r="EB15" s="192"/>
      <c r="EC15" s="192"/>
      <c r="ED15" s="192"/>
      <c r="EE15" s="192"/>
    </row>
    <row r="16" spans="1:135">
      <c r="A16" s="201">
        <v>43517</v>
      </c>
      <c r="B16" s="192">
        <f t="shared" si="0"/>
        <v>0.75266666666666671</v>
      </c>
      <c r="C16" s="192">
        <f t="shared" si="0"/>
        <v>0.65400000000000003</v>
      </c>
      <c r="D16" s="192">
        <f t="shared" si="0"/>
        <v>0.78799999999999992</v>
      </c>
      <c r="E16" s="192">
        <f t="shared" si="0"/>
        <v>0.67733333333333334</v>
      </c>
      <c r="F16" s="192">
        <f t="shared" si="0"/>
        <v>0.48266666666666663</v>
      </c>
      <c r="G16" s="192">
        <f t="shared" si="0"/>
        <v>0.58533333333333337</v>
      </c>
      <c r="H16" s="192">
        <f t="shared" si="0"/>
        <v>0.56666666666666665</v>
      </c>
      <c r="I16" s="194"/>
      <c r="J16" s="195"/>
      <c r="K16" s="192"/>
      <c r="L16" s="192"/>
      <c r="M16" s="192"/>
      <c r="N16" s="192"/>
      <c r="O16" s="192"/>
      <c r="P16" s="193"/>
      <c r="Q16" s="194"/>
      <c r="R16" s="195"/>
      <c r="S16" s="192"/>
      <c r="T16" s="192"/>
      <c r="U16" s="192"/>
      <c r="V16" s="192"/>
      <c r="W16" s="192"/>
      <c r="X16" s="193"/>
      <c r="Y16" s="198">
        <v>41691</v>
      </c>
      <c r="Z16" s="195">
        <v>0.61</v>
      </c>
      <c r="AA16" s="195">
        <v>0.6</v>
      </c>
      <c r="AB16" s="195">
        <v>0.66</v>
      </c>
      <c r="AC16" s="195">
        <v>0.62</v>
      </c>
      <c r="AD16" s="195">
        <v>0.38</v>
      </c>
      <c r="AE16" s="195">
        <v>0.46</v>
      </c>
      <c r="AF16" s="193">
        <v>0.47</v>
      </c>
      <c r="AG16" s="198"/>
      <c r="AH16" s="203">
        <f>AH15+(AH18-AH15)/3</f>
        <v>0.76666666666666661</v>
      </c>
      <c r="AI16" s="203">
        <f t="shared" ref="AI16:AN16" si="7">AI15+(AI18-AI15)/3</f>
        <v>0.6333333333333333</v>
      </c>
      <c r="AJ16" s="203">
        <f t="shared" si="7"/>
        <v>0.78</v>
      </c>
      <c r="AK16" s="203">
        <f t="shared" si="7"/>
        <v>0.73</v>
      </c>
      <c r="AL16" s="203">
        <f t="shared" si="7"/>
        <v>0.56666666666666665</v>
      </c>
      <c r="AM16" s="203">
        <f t="shared" si="7"/>
        <v>0.63</v>
      </c>
      <c r="AN16" s="203">
        <f t="shared" si="7"/>
        <v>0.59666666666666668</v>
      </c>
      <c r="AO16" s="198">
        <v>42421</v>
      </c>
      <c r="AP16" s="195">
        <v>0.89</v>
      </c>
      <c r="AQ16" s="192">
        <v>0.77</v>
      </c>
      <c r="AR16" s="192">
        <v>0.86</v>
      </c>
      <c r="AS16" s="192">
        <v>0.75</v>
      </c>
      <c r="AT16" s="192">
        <v>0.51</v>
      </c>
      <c r="AU16" s="192">
        <v>0.64</v>
      </c>
      <c r="AV16" s="193">
        <v>0.63</v>
      </c>
      <c r="AW16" s="198">
        <v>42785</v>
      </c>
      <c r="AX16" s="195">
        <v>0.68</v>
      </c>
      <c r="AY16" s="192">
        <v>0.54</v>
      </c>
      <c r="AZ16" s="192">
        <v>0.76</v>
      </c>
      <c r="BA16" s="192">
        <v>0.56999999999999995</v>
      </c>
      <c r="BB16" s="192">
        <v>0.43</v>
      </c>
      <c r="BC16" s="192">
        <v>0.54</v>
      </c>
      <c r="BD16" s="193">
        <v>0.52</v>
      </c>
      <c r="BE16" s="198"/>
      <c r="BF16" s="203">
        <f>BF15+(BF18-BF15)/3</f>
        <v>0.81666666666666665</v>
      </c>
      <c r="BG16" s="203">
        <f t="shared" ref="BG16:BL16" si="8">BG15+(BG18-BG15)/3</f>
        <v>0.72666666666666668</v>
      </c>
      <c r="BH16" s="203">
        <f t="shared" si="8"/>
        <v>0.88</v>
      </c>
      <c r="BI16" s="203">
        <f t="shared" si="8"/>
        <v>0.71666666666666667</v>
      </c>
      <c r="BJ16" s="203">
        <f t="shared" si="8"/>
        <v>0.52666666666666673</v>
      </c>
      <c r="BK16" s="203">
        <f t="shared" si="8"/>
        <v>0.65666666666666673</v>
      </c>
      <c r="BL16" s="203">
        <f t="shared" si="8"/>
        <v>0.6166666666666667</v>
      </c>
      <c r="BM16" s="197">
        <v>43520</v>
      </c>
      <c r="BN16" s="195">
        <v>0.63</v>
      </c>
      <c r="BO16" s="192">
        <v>0.56000000000000005</v>
      </c>
      <c r="BP16" s="192">
        <v>0.7</v>
      </c>
      <c r="BQ16" s="192">
        <v>0.62</v>
      </c>
      <c r="BR16" s="192">
        <v>0.56999999999999995</v>
      </c>
      <c r="BS16" s="192">
        <v>0.63</v>
      </c>
      <c r="BT16" s="193">
        <v>0.66</v>
      </c>
      <c r="BU16" s="194"/>
      <c r="BV16" s="192"/>
      <c r="BW16" s="192"/>
      <c r="BX16" s="192"/>
      <c r="BY16" s="192"/>
      <c r="BZ16" s="192"/>
      <c r="CA16" s="192"/>
      <c r="CB16" s="192"/>
      <c r="CC16" s="192"/>
      <c r="CD16" s="192"/>
      <c r="CE16" s="192"/>
      <c r="CF16" s="192"/>
      <c r="CG16" s="192"/>
      <c r="CH16" s="192"/>
      <c r="CI16" s="192"/>
      <c r="CJ16" s="192"/>
      <c r="CK16" s="192"/>
      <c r="CL16" s="192"/>
      <c r="CM16" s="192"/>
      <c r="CN16" s="192"/>
      <c r="CO16" s="192"/>
      <c r="CP16" s="192"/>
      <c r="CQ16" s="192"/>
      <c r="CR16" s="192"/>
      <c r="CS16" s="192"/>
      <c r="CT16" s="192"/>
      <c r="CU16" s="192"/>
      <c r="CV16" s="192"/>
      <c r="CW16" s="192"/>
      <c r="CX16" s="192"/>
      <c r="CY16" s="192"/>
      <c r="CZ16" s="192"/>
      <c r="DA16" s="192"/>
      <c r="DB16" s="192"/>
      <c r="DC16" s="192"/>
      <c r="DD16" s="192"/>
      <c r="DE16" s="192"/>
      <c r="DF16" s="192"/>
      <c r="DG16" s="192"/>
      <c r="DH16" s="192"/>
      <c r="DI16" s="192"/>
      <c r="DJ16" s="192"/>
      <c r="DK16" s="192"/>
      <c r="DL16" s="192"/>
      <c r="DM16" s="192"/>
      <c r="DN16" s="192"/>
      <c r="DO16" s="192"/>
      <c r="DP16" s="192"/>
      <c r="DQ16" s="192"/>
      <c r="DR16" s="192"/>
      <c r="DS16" s="192"/>
      <c r="DT16" s="192"/>
      <c r="DU16" s="192"/>
      <c r="DV16" s="192"/>
      <c r="DW16" s="192"/>
      <c r="DX16" s="192"/>
      <c r="DY16" s="192"/>
      <c r="DZ16" s="192"/>
      <c r="EA16" s="192"/>
      <c r="EB16" s="192"/>
      <c r="EC16" s="192"/>
      <c r="ED16" s="192"/>
      <c r="EE16" s="192"/>
    </row>
    <row r="17" spans="1:135">
      <c r="A17" s="201">
        <v>43524</v>
      </c>
      <c r="B17" s="192">
        <f t="shared" si="0"/>
        <v>0.78733333333333333</v>
      </c>
      <c r="C17" s="192">
        <f t="shared" si="0"/>
        <v>0.69199999999999995</v>
      </c>
      <c r="D17" s="192">
        <f t="shared" si="0"/>
        <v>0.82199999999999984</v>
      </c>
      <c r="E17" s="192">
        <f t="shared" si="0"/>
        <v>0.70866666666666656</v>
      </c>
      <c r="F17" s="192">
        <f t="shared" si="0"/>
        <v>0.51133333333333331</v>
      </c>
      <c r="G17" s="192">
        <f t="shared" si="0"/>
        <v>0.60666666666666669</v>
      </c>
      <c r="H17" s="192">
        <f t="shared" si="0"/>
        <v>0.58533333333333337</v>
      </c>
      <c r="I17" s="194"/>
      <c r="J17" s="195"/>
      <c r="K17" s="192"/>
      <c r="L17" s="192"/>
      <c r="M17" s="192"/>
      <c r="N17" s="192"/>
      <c r="O17" s="192"/>
      <c r="P17" s="193"/>
      <c r="Q17" s="194"/>
      <c r="R17" s="195"/>
      <c r="S17" s="192"/>
      <c r="T17" s="192"/>
      <c r="U17" s="192"/>
      <c r="V17" s="192"/>
      <c r="W17" s="192"/>
      <c r="X17" s="193"/>
      <c r="Y17" s="198">
        <v>41698</v>
      </c>
      <c r="Z17" s="195">
        <v>0.69</v>
      </c>
      <c r="AA17" s="195">
        <v>0.68</v>
      </c>
      <c r="AB17" s="195">
        <v>0.72</v>
      </c>
      <c r="AC17" s="195">
        <v>0.69</v>
      </c>
      <c r="AD17" s="195">
        <v>0.41</v>
      </c>
      <c r="AE17" s="195">
        <v>0.5</v>
      </c>
      <c r="AF17" s="193">
        <v>0.49</v>
      </c>
      <c r="AG17" s="198"/>
      <c r="AH17" s="203">
        <f>AH15+(AH18-AH15)/3*2</f>
        <v>0.79333333333333333</v>
      </c>
      <c r="AI17" s="203">
        <f t="shared" ref="AI17:AN17" si="9">AI15+(AI18-AI15)/3*2</f>
        <v>0.66666666666666663</v>
      </c>
      <c r="AJ17" s="203">
        <f t="shared" si="9"/>
        <v>0.80999999999999994</v>
      </c>
      <c r="AK17" s="203">
        <f t="shared" si="9"/>
        <v>0.76</v>
      </c>
      <c r="AL17" s="203">
        <f t="shared" si="9"/>
        <v>0.59333333333333338</v>
      </c>
      <c r="AM17" s="203">
        <f t="shared" si="9"/>
        <v>0.65</v>
      </c>
      <c r="AN17" s="203">
        <f t="shared" si="9"/>
        <v>0.61333333333333329</v>
      </c>
      <c r="AO17" s="198">
        <v>42428</v>
      </c>
      <c r="AP17" s="195">
        <v>0.91</v>
      </c>
      <c r="AQ17" s="192">
        <v>0.79</v>
      </c>
      <c r="AR17" s="192">
        <v>0.89</v>
      </c>
      <c r="AS17" s="192">
        <v>0.77</v>
      </c>
      <c r="AT17" s="192">
        <v>0.55000000000000004</v>
      </c>
      <c r="AU17" s="192">
        <v>0.66</v>
      </c>
      <c r="AV17" s="193">
        <v>0.65</v>
      </c>
      <c r="AW17" s="198">
        <v>42792</v>
      </c>
      <c r="AX17" s="195">
        <v>0.72</v>
      </c>
      <c r="AY17" s="192">
        <v>0.59</v>
      </c>
      <c r="AZ17" s="192">
        <v>0.8</v>
      </c>
      <c r="BA17" s="192">
        <v>0.6</v>
      </c>
      <c r="BB17" s="192">
        <v>0.47</v>
      </c>
      <c r="BC17" s="192">
        <v>0.56000000000000005</v>
      </c>
      <c r="BD17" s="193">
        <v>0.55000000000000004</v>
      </c>
      <c r="BE17" s="198"/>
      <c r="BF17" s="203">
        <f>BF15+(BF18-BF15)/3*2</f>
        <v>0.82333333333333336</v>
      </c>
      <c r="BG17" s="203">
        <f t="shared" ref="BG17:BL17" si="10">BG15+(BG18-BG15)/3*2</f>
        <v>0.73333333333333328</v>
      </c>
      <c r="BH17" s="203">
        <f t="shared" si="10"/>
        <v>0.89</v>
      </c>
      <c r="BI17" s="203">
        <f t="shared" si="10"/>
        <v>0.72333333333333327</v>
      </c>
      <c r="BJ17" s="203">
        <f t="shared" si="10"/>
        <v>0.53333333333333333</v>
      </c>
      <c r="BK17" s="203">
        <f t="shared" si="10"/>
        <v>0.66333333333333333</v>
      </c>
      <c r="BL17" s="203">
        <f t="shared" si="10"/>
        <v>0.62333333333333329</v>
      </c>
      <c r="BM17" s="197">
        <v>43527</v>
      </c>
      <c r="BN17" s="195">
        <v>0.7</v>
      </c>
      <c r="BO17" s="192">
        <v>0.63</v>
      </c>
      <c r="BP17" s="192">
        <v>0.76</v>
      </c>
      <c r="BQ17" s="192">
        <v>0.68</v>
      </c>
      <c r="BR17" s="192">
        <v>0.6</v>
      </c>
      <c r="BS17" s="192">
        <v>0.66</v>
      </c>
      <c r="BT17" s="193">
        <v>0.68</v>
      </c>
      <c r="BU17" s="194"/>
      <c r="BV17" s="192"/>
      <c r="BW17" s="192"/>
      <c r="BX17" s="192"/>
      <c r="BY17" s="192"/>
      <c r="BZ17" s="192"/>
      <c r="CA17" s="192"/>
      <c r="CB17" s="192"/>
      <c r="CC17" s="192"/>
      <c r="CD17" s="192"/>
      <c r="CE17" s="192"/>
      <c r="CF17" s="192"/>
      <c r="CG17" s="192"/>
      <c r="CH17" s="192"/>
      <c r="CI17" s="192"/>
      <c r="CJ17" s="192"/>
      <c r="CK17" s="192"/>
      <c r="CL17" s="192"/>
      <c r="CM17" s="192"/>
      <c r="CN17" s="192"/>
      <c r="CO17" s="192"/>
      <c r="CP17" s="192"/>
      <c r="CQ17" s="192"/>
      <c r="CR17" s="192"/>
      <c r="CS17" s="192"/>
      <c r="CT17" s="192"/>
      <c r="CU17" s="192"/>
      <c r="CV17" s="192"/>
      <c r="CW17" s="192"/>
      <c r="CX17" s="192"/>
      <c r="CY17" s="192"/>
      <c r="CZ17" s="192"/>
      <c r="DA17" s="192"/>
      <c r="DB17" s="192"/>
      <c r="DC17" s="192"/>
      <c r="DD17" s="192"/>
      <c r="DE17" s="192"/>
      <c r="DF17" s="192"/>
      <c r="DG17" s="192"/>
      <c r="DH17" s="192"/>
      <c r="DI17" s="192"/>
      <c r="DJ17" s="192"/>
      <c r="DK17" s="192"/>
      <c r="DL17" s="192"/>
      <c r="DM17" s="192"/>
      <c r="DN17" s="192"/>
      <c r="DO17" s="192"/>
      <c r="DP17" s="192"/>
      <c r="DQ17" s="192"/>
      <c r="DR17" s="192"/>
      <c r="DS17" s="192"/>
      <c r="DT17" s="192"/>
      <c r="DU17" s="192"/>
      <c r="DV17" s="192"/>
      <c r="DW17" s="192"/>
      <c r="DX17" s="192"/>
      <c r="DY17" s="192"/>
      <c r="DZ17" s="192"/>
      <c r="EA17" s="192"/>
      <c r="EB17" s="192"/>
      <c r="EC17" s="192"/>
      <c r="ED17" s="192"/>
      <c r="EE17" s="192"/>
    </row>
    <row r="18" spans="1:135">
      <c r="A18" s="201">
        <v>43531</v>
      </c>
      <c r="B18" s="192">
        <f t="shared" si="0"/>
        <v>0.81799999999999995</v>
      </c>
      <c r="C18" s="192">
        <f t="shared" si="0"/>
        <v>0.72999999999999987</v>
      </c>
      <c r="D18" s="192">
        <f t="shared" si="0"/>
        <v>0.85799999999999998</v>
      </c>
      <c r="E18" s="192">
        <f t="shared" si="0"/>
        <v>0.75000000000000011</v>
      </c>
      <c r="F18" s="192">
        <f t="shared" si="0"/>
        <v>0.53200000000000003</v>
      </c>
      <c r="G18" s="192">
        <f t="shared" si="0"/>
        <v>0.63000000000000012</v>
      </c>
      <c r="H18" s="192">
        <f t="shared" si="0"/>
        <v>0.60399999999999998</v>
      </c>
      <c r="I18" s="194"/>
      <c r="J18" s="195"/>
      <c r="K18" s="192"/>
      <c r="L18" s="192"/>
      <c r="M18" s="192"/>
      <c r="N18" s="192"/>
      <c r="O18" s="192"/>
      <c r="P18" s="193"/>
      <c r="Q18" s="194"/>
      <c r="R18" s="195"/>
      <c r="S18" s="192"/>
      <c r="T18" s="192"/>
      <c r="U18" s="192"/>
      <c r="V18" s="192"/>
      <c r="W18" s="192"/>
      <c r="X18" s="193"/>
      <c r="Y18" s="198">
        <v>41705</v>
      </c>
      <c r="Z18" s="195">
        <v>0.74</v>
      </c>
      <c r="AA18" s="195">
        <v>0.75</v>
      </c>
      <c r="AB18" s="195">
        <v>0.8</v>
      </c>
      <c r="AC18" s="195">
        <v>0.77</v>
      </c>
      <c r="AD18" s="195">
        <v>0.44</v>
      </c>
      <c r="AE18" s="195">
        <v>0.53</v>
      </c>
      <c r="AF18" s="193">
        <v>0.51</v>
      </c>
      <c r="AG18" s="198">
        <v>42070</v>
      </c>
      <c r="AH18" s="195">
        <v>0.82</v>
      </c>
      <c r="AI18" s="192">
        <v>0.7</v>
      </c>
      <c r="AJ18" s="192">
        <v>0.84</v>
      </c>
      <c r="AK18" s="192">
        <v>0.79</v>
      </c>
      <c r="AL18" s="192">
        <v>0.62</v>
      </c>
      <c r="AM18" s="192">
        <v>0.67</v>
      </c>
      <c r="AN18" s="193">
        <v>0.63</v>
      </c>
      <c r="AO18" s="198">
        <v>42434</v>
      </c>
      <c r="AP18" s="195">
        <v>0.92</v>
      </c>
      <c r="AQ18" s="192">
        <v>0.81</v>
      </c>
      <c r="AR18" s="192">
        <v>0.91</v>
      </c>
      <c r="AS18" s="192">
        <v>0.8</v>
      </c>
      <c r="AT18" s="192">
        <v>0.56999999999999995</v>
      </c>
      <c r="AU18" s="192">
        <v>0.68</v>
      </c>
      <c r="AV18" s="193">
        <v>0.67</v>
      </c>
      <c r="AW18" s="198">
        <v>42799</v>
      </c>
      <c r="AX18" s="195">
        <v>0.78</v>
      </c>
      <c r="AY18" s="192">
        <v>0.65</v>
      </c>
      <c r="AZ18" s="192">
        <v>0.84</v>
      </c>
      <c r="BA18" s="192">
        <v>0.66</v>
      </c>
      <c r="BB18" s="192">
        <v>0.49</v>
      </c>
      <c r="BC18" s="192">
        <v>0.6</v>
      </c>
      <c r="BD18" s="193">
        <v>0.57999999999999996</v>
      </c>
      <c r="BE18" s="198">
        <v>43163</v>
      </c>
      <c r="BF18" s="195">
        <v>0.83</v>
      </c>
      <c r="BG18" s="192">
        <v>0.74</v>
      </c>
      <c r="BH18" s="192">
        <v>0.9</v>
      </c>
      <c r="BI18" s="192">
        <v>0.73</v>
      </c>
      <c r="BJ18" s="192">
        <v>0.54</v>
      </c>
      <c r="BK18" s="192">
        <v>0.67</v>
      </c>
      <c r="BL18" s="193">
        <v>0.63</v>
      </c>
      <c r="BM18" s="197">
        <v>43534</v>
      </c>
      <c r="BN18" s="195">
        <v>0.76</v>
      </c>
      <c r="BO18" s="192">
        <v>0.68</v>
      </c>
      <c r="BP18" s="192">
        <v>0.81</v>
      </c>
      <c r="BQ18" s="192">
        <v>0.72</v>
      </c>
      <c r="BR18" s="192">
        <v>0.64</v>
      </c>
      <c r="BS18" s="192">
        <v>0.69</v>
      </c>
      <c r="BT18" s="193">
        <v>0.7</v>
      </c>
      <c r="BU18" s="194"/>
      <c r="BV18" s="192"/>
      <c r="BW18" s="192"/>
      <c r="BX18" s="192"/>
      <c r="BY18" s="192"/>
      <c r="BZ18" s="192"/>
      <c r="CA18" s="192"/>
      <c r="CB18" s="192"/>
      <c r="CC18" s="192"/>
      <c r="CD18" s="192"/>
      <c r="CE18" s="192"/>
      <c r="CF18" s="192"/>
      <c r="CG18" s="192"/>
      <c r="CH18" s="192"/>
      <c r="CI18" s="192"/>
      <c r="CJ18" s="192"/>
      <c r="CK18" s="192"/>
      <c r="CL18" s="192"/>
      <c r="CM18" s="192"/>
      <c r="CN18" s="192"/>
      <c r="CO18" s="192"/>
      <c r="CP18" s="192"/>
      <c r="CQ18" s="192"/>
      <c r="CR18" s="192"/>
      <c r="CS18" s="192"/>
      <c r="CT18" s="192"/>
      <c r="CU18" s="192"/>
      <c r="CV18" s="192"/>
      <c r="CW18" s="192"/>
      <c r="CX18" s="192"/>
      <c r="CY18" s="192"/>
      <c r="CZ18" s="192"/>
      <c r="DA18" s="192"/>
      <c r="DB18" s="192"/>
      <c r="DC18" s="192"/>
      <c r="DD18" s="192"/>
      <c r="DE18" s="192"/>
      <c r="DF18" s="192"/>
      <c r="DG18" s="192"/>
      <c r="DH18" s="192"/>
      <c r="DI18" s="192"/>
      <c r="DJ18" s="192"/>
      <c r="DK18" s="192"/>
      <c r="DL18" s="192"/>
      <c r="DM18" s="192"/>
      <c r="DN18" s="192"/>
      <c r="DO18" s="192"/>
      <c r="DP18" s="192"/>
      <c r="DQ18" s="192"/>
      <c r="DR18" s="192"/>
      <c r="DS18" s="192"/>
      <c r="DT18" s="192"/>
      <c r="DU18" s="192"/>
      <c r="DV18" s="192"/>
      <c r="DW18" s="192"/>
      <c r="DX18" s="192"/>
      <c r="DY18" s="192"/>
      <c r="DZ18" s="192"/>
      <c r="EA18" s="192"/>
      <c r="EB18" s="192"/>
      <c r="EC18" s="192"/>
      <c r="ED18" s="192"/>
      <c r="EE18" s="192"/>
    </row>
    <row r="19" spans="1:135">
      <c r="A19" s="201">
        <v>43538</v>
      </c>
      <c r="B19" s="192">
        <f t="shared" ref="B19:H21" si="11">AVERAGE(Z19,AH19,AP19,AX19,BF19)</f>
        <v>0.85400000000000009</v>
      </c>
      <c r="C19" s="192">
        <f t="shared" si="11"/>
        <v>0.77</v>
      </c>
      <c r="D19" s="192">
        <f t="shared" si="11"/>
        <v>0.89</v>
      </c>
      <c r="E19" s="192">
        <f t="shared" si="11"/>
        <v>0.78999999999999981</v>
      </c>
      <c r="F19" s="192">
        <f t="shared" si="11"/>
        <v>0.56600000000000006</v>
      </c>
      <c r="G19" s="192">
        <f t="shared" si="11"/>
        <v>0.65599999999999992</v>
      </c>
      <c r="H19" s="192">
        <f t="shared" si="11"/>
        <v>0.63400000000000012</v>
      </c>
      <c r="I19" s="194"/>
      <c r="J19" s="195"/>
      <c r="K19" s="192"/>
      <c r="L19" s="192"/>
      <c r="M19" s="192"/>
      <c r="N19" s="192"/>
      <c r="O19" s="192"/>
      <c r="P19" s="193"/>
      <c r="Q19" s="194"/>
      <c r="R19" s="195"/>
      <c r="S19" s="192"/>
      <c r="T19" s="192"/>
      <c r="U19" s="192"/>
      <c r="V19" s="192"/>
      <c r="W19" s="192"/>
      <c r="X19" s="193"/>
      <c r="Y19" s="198">
        <v>41711</v>
      </c>
      <c r="Z19" s="195">
        <v>0.8</v>
      </c>
      <c r="AA19" s="195">
        <v>0.79</v>
      </c>
      <c r="AB19" s="195">
        <v>0.84</v>
      </c>
      <c r="AC19" s="195">
        <v>0.82</v>
      </c>
      <c r="AD19" s="195">
        <v>0.47</v>
      </c>
      <c r="AE19" s="195">
        <v>0.55000000000000004</v>
      </c>
      <c r="AF19" s="193">
        <v>0.54</v>
      </c>
      <c r="AG19" s="198">
        <v>42077</v>
      </c>
      <c r="AH19" s="195">
        <v>0.84</v>
      </c>
      <c r="AI19" s="192">
        <v>0.73</v>
      </c>
      <c r="AJ19" s="192">
        <v>0.88</v>
      </c>
      <c r="AK19" s="192">
        <v>0.83</v>
      </c>
      <c r="AL19" s="192">
        <v>0.65</v>
      </c>
      <c r="AM19" s="192">
        <v>0.7</v>
      </c>
      <c r="AN19" s="193">
        <v>0.66</v>
      </c>
      <c r="AO19" s="198">
        <v>42442</v>
      </c>
      <c r="AP19" s="195">
        <v>0.94</v>
      </c>
      <c r="AQ19" s="192">
        <v>0.86</v>
      </c>
      <c r="AR19" s="192">
        <v>0.94</v>
      </c>
      <c r="AS19" s="192">
        <v>0.84</v>
      </c>
      <c r="AT19" s="192">
        <v>0.62</v>
      </c>
      <c r="AU19" s="192">
        <v>0.71</v>
      </c>
      <c r="AV19" s="193">
        <v>0.69</v>
      </c>
      <c r="AW19" s="198">
        <v>42806</v>
      </c>
      <c r="AX19" s="195">
        <v>0.83</v>
      </c>
      <c r="AY19" s="192">
        <v>0.7</v>
      </c>
      <c r="AZ19" s="192">
        <v>0.87</v>
      </c>
      <c r="BA19" s="192">
        <v>0.7</v>
      </c>
      <c r="BB19" s="192">
        <v>0.52</v>
      </c>
      <c r="BC19" s="192">
        <v>0.63</v>
      </c>
      <c r="BD19" s="193">
        <v>0.62</v>
      </c>
      <c r="BE19" s="198">
        <v>43170</v>
      </c>
      <c r="BF19" s="195">
        <v>0.86</v>
      </c>
      <c r="BG19" s="192">
        <v>0.77</v>
      </c>
      <c r="BH19" s="192">
        <v>0.92</v>
      </c>
      <c r="BI19" s="192">
        <v>0.76</v>
      </c>
      <c r="BJ19" s="192">
        <v>0.56999999999999995</v>
      </c>
      <c r="BK19" s="192">
        <v>0.69</v>
      </c>
      <c r="BL19" s="193">
        <v>0.66</v>
      </c>
      <c r="BM19" s="197">
        <v>43541</v>
      </c>
      <c r="BN19" s="195">
        <v>0.81</v>
      </c>
      <c r="BO19" s="192">
        <v>0.73</v>
      </c>
      <c r="BP19" s="192">
        <v>0.85</v>
      </c>
      <c r="BQ19" s="192">
        <v>0.77</v>
      </c>
      <c r="BR19" s="192">
        <v>0.67</v>
      </c>
      <c r="BS19" s="192">
        <v>0.72</v>
      </c>
      <c r="BT19" s="193">
        <v>0.72</v>
      </c>
      <c r="BU19" s="194"/>
      <c r="BV19" s="192"/>
      <c r="BW19" s="192"/>
      <c r="BX19" s="192"/>
      <c r="BY19" s="192"/>
      <c r="BZ19" s="192"/>
      <c r="CA19" s="192"/>
      <c r="CB19" s="192"/>
      <c r="CC19" s="192"/>
      <c r="CD19" s="192"/>
      <c r="CE19" s="192"/>
      <c r="CF19" s="192"/>
      <c r="CG19" s="192"/>
      <c r="CH19" s="192"/>
      <c r="CI19" s="192"/>
      <c r="CJ19" s="192"/>
      <c r="CK19" s="192"/>
      <c r="CL19" s="192"/>
      <c r="CM19" s="192"/>
      <c r="CN19" s="192"/>
      <c r="CO19" s="192"/>
      <c r="CP19" s="192"/>
      <c r="CQ19" s="192"/>
      <c r="CR19" s="192"/>
      <c r="CS19" s="192"/>
      <c r="CT19" s="192"/>
      <c r="CU19" s="192"/>
      <c r="CV19" s="192"/>
      <c r="CW19" s="192"/>
      <c r="CX19" s="192"/>
      <c r="CY19" s="192"/>
      <c r="CZ19" s="192"/>
      <c r="DA19" s="192"/>
      <c r="DB19" s="192"/>
      <c r="DC19" s="192"/>
      <c r="DD19" s="192"/>
      <c r="DE19" s="192"/>
      <c r="DF19" s="192"/>
      <c r="DG19" s="192"/>
      <c r="DH19" s="192"/>
      <c r="DI19" s="192"/>
      <c r="DJ19" s="192"/>
      <c r="DK19" s="192"/>
      <c r="DL19" s="192"/>
      <c r="DM19" s="192"/>
      <c r="DN19" s="192"/>
      <c r="DO19" s="192"/>
      <c r="DP19" s="192"/>
      <c r="DQ19" s="192"/>
      <c r="DR19" s="192"/>
      <c r="DS19" s="192"/>
      <c r="DT19" s="192"/>
      <c r="DU19" s="192"/>
      <c r="DV19" s="192"/>
      <c r="DW19" s="192"/>
      <c r="DX19" s="192"/>
      <c r="DY19" s="192"/>
      <c r="DZ19" s="192"/>
      <c r="EA19" s="192"/>
      <c r="EB19" s="192"/>
      <c r="EC19" s="192"/>
      <c r="ED19" s="192"/>
      <c r="EE19" s="192"/>
    </row>
    <row r="20" spans="1:135">
      <c r="A20" s="201">
        <v>43545</v>
      </c>
      <c r="B20" s="192">
        <f t="shared" si="11"/>
        <v>0.88400000000000001</v>
      </c>
      <c r="C20" s="192">
        <f t="shared" si="11"/>
        <v>0.80800000000000005</v>
      </c>
      <c r="D20" s="192">
        <f t="shared" si="11"/>
        <v>0.91600000000000004</v>
      </c>
      <c r="E20" s="192">
        <f t="shared" si="11"/>
        <v>0.83200000000000007</v>
      </c>
      <c r="F20" s="192">
        <f t="shared" si="11"/>
        <v>0.60399999999999998</v>
      </c>
      <c r="G20" s="192">
        <f t="shared" si="11"/>
        <v>0.68399999999999994</v>
      </c>
      <c r="H20" s="192">
        <f t="shared" si="11"/>
        <v>0.66200000000000003</v>
      </c>
      <c r="I20" s="194"/>
      <c r="J20" s="195"/>
      <c r="K20" s="192"/>
      <c r="L20" s="192"/>
      <c r="M20" s="192"/>
      <c r="N20" s="192"/>
      <c r="O20" s="192"/>
      <c r="P20" s="193"/>
      <c r="Q20" s="194"/>
      <c r="R20" s="195"/>
      <c r="S20" s="192"/>
      <c r="T20" s="192"/>
      <c r="U20" s="192"/>
      <c r="V20" s="192"/>
      <c r="W20" s="192"/>
      <c r="X20" s="193"/>
      <c r="Y20" s="198">
        <v>41719</v>
      </c>
      <c r="Z20" s="195">
        <v>0.84</v>
      </c>
      <c r="AA20" s="195">
        <v>0.83</v>
      </c>
      <c r="AB20" s="195">
        <v>0.88</v>
      </c>
      <c r="AC20" s="195">
        <v>0.87</v>
      </c>
      <c r="AD20" s="195">
        <v>0.51</v>
      </c>
      <c r="AE20" s="195">
        <v>0.57999999999999996</v>
      </c>
      <c r="AF20" s="193">
        <v>0.57999999999999996</v>
      </c>
      <c r="AG20" s="198">
        <v>42084</v>
      </c>
      <c r="AH20" s="195">
        <v>0.87</v>
      </c>
      <c r="AI20" s="192">
        <v>0.77</v>
      </c>
      <c r="AJ20" s="192">
        <v>0.91</v>
      </c>
      <c r="AK20" s="192">
        <v>0.87</v>
      </c>
      <c r="AL20" s="192">
        <v>0.7</v>
      </c>
      <c r="AM20" s="192">
        <v>0.74</v>
      </c>
      <c r="AN20" s="193">
        <v>0.69</v>
      </c>
      <c r="AO20" s="198">
        <v>42449</v>
      </c>
      <c r="AP20" s="195">
        <v>0.95</v>
      </c>
      <c r="AQ20" s="192">
        <v>0.88</v>
      </c>
      <c r="AR20" s="192">
        <v>0.95</v>
      </c>
      <c r="AS20" s="192">
        <v>0.87</v>
      </c>
      <c r="AT20" s="192">
        <v>0.65</v>
      </c>
      <c r="AU20" s="192">
        <v>0.73</v>
      </c>
      <c r="AV20" s="193">
        <v>0.71</v>
      </c>
      <c r="AW20" s="198">
        <v>42813</v>
      </c>
      <c r="AX20" s="195">
        <v>0.88</v>
      </c>
      <c r="AY20" s="192">
        <v>0.76</v>
      </c>
      <c r="AZ20" s="192">
        <v>0.91</v>
      </c>
      <c r="BA20" s="192">
        <v>0.75</v>
      </c>
      <c r="BB20" s="192">
        <v>0.56000000000000005</v>
      </c>
      <c r="BC20" s="192">
        <v>0.66</v>
      </c>
      <c r="BD20" s="193">
        <v>0.65</v>
      </c>
      <c r="BE20" s="198">
        <v>43177</v>
      </c>
      <c r="BF20" s="195">
        <v>0.88</v>
      </c>
      <c r="BG20" s="192">
        <v>0.8</v>
      </c>
      <c r="BH20" s="192">
        <v>0.93</v>
      </c>
      <c r="BI20" s="192">
        <v>0.8</v>
      </c>
      <c r="BJ20" s="192">
        <v>0.6</v>
      </c>
      <c r="BK20" s="192">
        <v>0.71</v>
      </c>
      <c r="BL20" s="193">
        <v>0.68</v>
      </c>
      <c r="BM20" s="197">
        <v>43548</v>
      </c>
      <c r="BN20" s="195">
        <v>0.86</v>
      </c>
      <c r="BO20" s="192">
        <v>0.78</v>
      </c>
      <c r="BP20" s="192">
        <v>0.89</v>
      </c>
      <c r="BQ20" s="192">
        <v>0.82</v>
      </c>
      <c r="BR20" s="192">
        <v>0.7</v>
      </c>
      <c r="BS20" s="192">
        <v>0.75</v>
      </c>
      <c r="BT20" s="193">
        <v>0.74</v>
      </c>
      <c r="BU20" s="194"/>
      <c r="BV20" s="192"/>
      <c r="BW20" s="192"/>
      <c r="BX20" s="192"/>
      <c r="BY20" s="192"/>
      <c r="BZ20" s="192"/>
      <c r="CA20" s="192"/>
      <c r="CB20" s="192"/>
      <c r="CC20" s="192"/>
      <c r="CD20" s="192"/>
      <c r="CE20" s="192"/>
      <c r="CF20" s="192"/>
      <c r="CG20" s="192"/>
      <c r="CH20" s="192"/>
      <c r="CI20" s="192"/>
      <c r="CJ20" s="192"/>
      <c r="CK20" s="192"/>
      <c r="CL20" s="192"/>
      <c r="CM20" s="192"/>
      <c r="CN20" s="192"/>
      <c r="CO20" s="192"/>
      <c r="CP20" s="192"/>
      <c r="CQ20" s="192"/>
      <c r="CR20" s="192"/>
      <c r="CS20" s="192"/>
      <c r="CT20" s="192"/>
      <c r="CU20" s="192"/>
      <c r="CV20" s="192"/>
      <c r="CW20" s="192"/>
      <c r="CX20" s="192"/>
      <c r="CY20" s="192"/>
      <c r="CZ20" s="192"/>
      <c r="DA20" s="192"/>
      <c r="DB20" s="192"/>
      <c r="DC20" s="192"/>
      <c r="DD20" s="192"/>
      <c r="DE20" s="192"/>
      <c r="DF20" s="192"/>
      <c r="DG20" s="192"/>
      <c r="DH20" s="192"/>
      <c r="DI20" s="192"/>
      <c r="DJ20" s="192"/>
      <c r="DK20" s="192"/>
      <c r="DL20" s="192"/>
      <c r="DM20" s="192"/>
      <c r="DN20" s="192"/>
      <c r="DO20" s="192"/>
      <c r="DP20" s="192"/>
      <c r="DQ20" s="192"/>
      <c r="DR20" s="192"/>
      <c r="DS20" s="192"/>
      <c r="DT20" s="192"/>
      <c r="DU20" s="192"/>
      <c r="DV20" s="192"/>
      <c r="DW20" s="192"/>
      <c r="DX20" s="192"/>
      <c r="DY20" s="192"/>
      <c r="DZ20" s="192"/>
      <c r="EA20" s="192"/>
      <c r="EB20" s="192"/>
      <c r="EC20" s="192"/>
      <c r="ED20" s="192"/>
      <c r="EE20" s="192"/>
    </row>
    <row r="21" spans="1:135">
      <c r="A21" s="201">
        <v>43552</v>
      </c>
      <c r="B21" s="192">
        <f t="shared" si="11"/>
        <v>0.90800000000000003</v>
      </c>
      <c r="C21" s="192">
        <f t="shared" si="11"/>
        <v>0.84199999999999997</v>
      </c>
      <c r="D21" s="192">
        <f t="shared" si="11"/>
        <v>0.93399999999999994</v>
      </c>
      <c r="E21" s="192">
        <f t="shared" si="11"/>
        <v>0.8620000000000001</v>
      </c>
      <c r="F21" s="192">
        <f t="shared" si="11"/>
        <v>0.64</v>
      </c>
      <c r="G21" s="192">
        <f t="shared" si="11"/>
        <v>0.71400000000000008</v>
      </c>
      <c r="H21" s="192">
        <f t="shared" si="11"/>
        <v>0.68799999999999994</v>
      </c>
      <c r="I21" s="194"/>
      <c r="J21" s="195"/>
      <c r="K21" s="192"/>
      <c r="L21" s="192"/>
      <c r="M21" s="192"/>
      <c r="N21" s="192"/>
      <c r="O21" s="192"/>
      <c r="P21" s="193"/>
      <c r="Q21" s="194"/>
      <c r="R21" s="195"/>
      <c r="S21" s="192"/>
      <c r="T21" s="192"/>
      <c r="U21" s="192"/>
      <c r="V21" s="192"/>
      <c r="W21" s="192"/>
      <c r="X21" s="193"/>
      <c r="Y21" s="198">
        <v>41726</v>
      </c>
      <c r="Z21" s="195">
        <v>0.87</v>
      </c>
      <c r="AA21" s="195">
        <v>0.86</v>
      </c>
      <c r="AB21" s="195">
        <v>0.91</v>
      </c>
      <c r="AC21" s="195">
        <v>0.9</v>
      </c>
      <c r="AD21" s="195">
        <v>0.55000000000000004</v>
      </c>
      <c r="AE21" s="195">
        <v>0.62</v>
      </c>
      <c r="AF21" s="193">
        <v>0.61</v>
      </c>
      <c r="AG21" s="198">
        <v>42091</v>
      </c>
      <c r="AH21" s="195">
        <v>0.9</v>
      </c>
      <c r="AI21" s="192">
        <v>0.81</v>
      </c>
      <c r="AJ21" s="192">
        <v>0.93</v>
      </c>
      <c r="AK21" s="192">
        <v>0.9</v>
      </c>
      <c r="AL21" s="192">
        <v>0.75</v>
      </c>
      <c r="AM21" s="192">
        <v>0.79</v>
      </c>
      <c r="AN21" s="193">
        <v>0.73</v>
      </c>
      <c r="AO21" s="198">
        <v>42456</v>
      </c>
      <c r="AP21" s="195">
        <v>0.95</v>
      </c>
      <c r="AQ21" s="192">
        <v>0.89</v>
      </c>
      <c r="AR21" s="192">
        <v>0.95</v>
      </c>
      <c r="AS21" s="192">
        <v>0.88</v>
      </c>
      <c r="AT21" s="192">
        <v>0.67</v>
      </c>
      <c r="AU21" s="192">
        <v>0.74</v>
      </c>
      <c r="AV21" s="193">
        <v>0.72</v>
      </c>
      <c r="AW21" s="198">
        <v>42820</v>
      </c>
      <c r="AX21" s="195">
        <v>0.92</v>
      </c>
      <c r="AY21" s="192">
        <v>0.82</v>
      </c>
      <c r="AZ21" s="192">
        <v>0.94</v>
      </c>
      <c r="BA21" s="192">
        <v>0.81</v>
      </c>
      <c r="BB21" s="192">
        <v>0.61</v>
      </c>
      <c r="BC21" s="192">
        <v>0.69</v>
      </c>
      <c r="BD21" s="193">
        <v>0.68</v>
      </c>
      <c r="BE21" s="198">
        <v>43184</v>
      </c>
      <c r="BF21" s="195">
        <v>0.9</v>
      </c>
      <c r="BG21" s="192">
        <v>0.83</v>
      </c>
      <c r="BH21" s="192">
        <v>0.94</v>
      </c>
      <c r="BI21" s="192">
        <v>0.82</v>
      </c>
      <c r="BJ21" s="192">
        <v>0.62</v>
      </c>
      <c r="BK21" s="192">
        <v>0.73</v>
      </c>
      <c r="BL21" s="193">
        <v>0.7</v>
      </c>
      <c r="BM21" s="197">
        <v>43555</v>
      </c>
      <c r="BN21" s="195">
        <v>0.9</v>
      </c>
      <c r="BO21" s="192">
        <v>0.82</v>
      </c>
      <c r="BP21" s="192">
        <v>0.92</v>
      </c>
      <c r="BQ21" s="192">
        <v>0.87</v>
      </c>
      <c r="BR21" s="192">
        <v>0.73</v>
      </c>
      <c r="BS21" s="192">
        <v>0.78</v>
      </c>
      <c r="BT21" s="193">
        <v>0.76</v>
      </c>
      <c r="BU21" s="194"/>
      <c r="BV21" s="192"/>
      <c r="BW21" s="192"/>
      <c r="BX21" s="192"/>
      <c r="BY21" s="192"/>
      <c r="BZ21" s="192"/>
      <c r="CA21" s="192"/>
      <c r="CB21" s="192"/>
      <c r="CC21" s="192"/>
      <c r="CD21" s="192"/>
      <c r="CE21" s="192"/>
      <c r="CF21" s="192"/>
      <c r="CG21" s="192"/>
      <c r="CH21" s="192"/>
      <c r="CI21" s="192"/>
      <c r="CJ21" s="192"/>
      <c r="CK21" s="192"/>
      <c r="CL21" s="192"/>
      <c r="CM21" s="192"/>
      <c r="CN21" s="192"/>
      <c r="CO21" s="192"/>
      <c r="CP21" s="192"/>
      <c r="CQ21" s="192"/>
      <c r="CR21" s="192"/>
      <c r="CS21" s="192"/>
      <c r="CT21" s="192"/>
      <c r="CU21" s="192"/>
      <c r="CV21" s="192"/>
      <c r="CW21" s="192"/>
      <c r="CX21" s="192"/>
      <c r="CY21" s="192"/>
      <c r="CZ21" s="192"/>
      <c r="DA21" s="192"/>
      <c r="DB21" s="192"/>
      <c r="DC21" s="192"/>
      <c r="DD21" s="192"/>
      <c r="DE21" s="192"/>
      <c r="DF21" s="192"/>
      <c r="DG21" s="192"/>
      <c r="DH21" s="192"/>
      <c r="DI21" s="192"/>
      <c r="DJ21" s="192"/>
      <c r="DK21" s="192"/>
      <c r="DL21" s="192"/>
      <c r="DM21" s="192"/>
      <c r="DN21" s="192"/>
      <c r="DO21" s="192"/>
      <c r="DP21" s="192"/>
      <c r="DQ21" s="192"/>
      <c r="DR21" s="192"/>
      <c r="DS21" s="192"/>
      <c r="DT21" s="192"/>
      <c r="DU21" s="192"/>
      <c r="DV21" s="192"/>
      <c r="DW21" s="192"/>
      <c r="DX21" s="192"/>
      <c r="DY21" s="192"/>
      <c r="DZ21" s="192"/>
      <c r="EA21" s="192"/>
      <c r="EB21" s="192"/>
      <c r="EC21" s="192"/>
      <c r="ED21" s="192"/>
      <c r="EE21" s="192"/>
    </row>
    <row r="22" spans="1:135">
      <c r="A22" s="201">
        <v>43559</v>
      </c>
      <c r="B22" s="192"/>
      <c r="C22" s="192"/>
      <c r="D22" s="192"/>
      <c r="E22" s="192"/>
      <c r="F22" s="192"/>
      <c r="G22" s="192"/>
      <c r="H22" s="192"/>
      <c r="I22" s="194"/>
      <c r="J22" s="195"/>
      <c r="K22" s="192"/>
      <c r="L22" s="192"/>
      <c r="M22" s="192"/>
      <c r="N22" s="192"/>
      <c r="O22" s="192"/>
      <c r="P22" s="193"/>
      <c r="Q22" s="194"/>
      <c r="R22" s="195"/>
      <c r="S22" s="192"/>
      <c r="T22" s="192"/>
      <c r="U22" s="192"/>
      <c r="V22" s="192"/>
      <c r="W22" s="192"/>
      <c r="X22" s="193"/>
      <c r="Y22" s="198">
        <v>41733</v>
      </c>
      <c r="Z22" s="195">
        <v>0.89</v>
      </c>
      <c r="AA22" s="195">
        <v>0.88</v>
      </c>
      <c r="AB22" s="195">
        <v>0.92</v>
      </c>
      <c r="AC22" s="195">
        <v>0.91</v>
      </c>
      <c r="AD22" s="195">
        <v>0.56999999999999995</v>
      </c>
      <c r="AE22" s="195">
        <v>0.65</v>
      </c>
      <c r="AF22" s="193">
        <v>0.63</v>
      </c>
      <c r="AG22" s="198">
        <v>42098</v>
      </c>
      <c r="AH22" s="195">
        <v>0.94</v>
      </c>
      <c r="AI22" s="192">
        <v>0.87</v>
      </c>
      <c r="AJ22" s="192">
        <v>0.95</v>
      </c>
      <c r="AK22" s="192">
        <v>0.93</v>
      </c>
      <c r="AL22" s="192">
        <v>0.79</v>
      </c>
      <c r="AM22" s="192">
        <v>0.83</v>
      </c>
      <c r="AN22" s="193">
        <v>0.77</v>
      </c>
      <c r="AO22" s="198"/>
      <c r="AP22" s="195"/>
      <c r="AQ22" s="192"/>
      <c r="AR22" s="192"/>
      <c r="AS22" s="192"/>
      <c r="AT22" s="192"/>
      <c r="AU22" s="192"/>
      <c r="AV22" s="193"/>
      <c r="AW22" s="198"/>
      <c r="AX22" s="195"/>
      <c r="AY22" s="192"/>
      <c r="AZ22" s="192"/>
      <c r="BA22" s="192"/>
      <c r="BB22" s="192"/>
      <c r="BC22" s="192"/>
      <c r="BD22" s="193"/>
      <c r="BE22" s="198">
        <v>43191</v>
      </c>
      <c r="BF22" s="195">
        <v>0.93</v>
      </c>
      <c r="BG22" s="192">
        <v>0.86</v>
      </c>
      <c r="BH22" s="192">
        <v>0.95</v>
      </c>
      <c r="BI22" s="192">
        <v>0.85</v>
      </c>
      <c r="BJ22" s="192">
        <v>0.64</v>
      </c>
      <c r="BK22" s="192">
        <v>0.75</v>
      </c>
      <c r="BL22" s="193">
        <v>0.72</v>
      </c>
      <c r="BM22" s="194"/>
      <c r="BN22" s="195"/>
      <c r="BO22" s="192"/>
      <c r="BP22" s="192"/>
      <c r="BQ22" s="192"/>
      <c r="BR22" s="192"/>
      <c r="BS22" s="192"/>
      <c r="BU22" s="194"/>
      <c r="BV22" s="192"/>
      <c r="BW22" s="192"/>
      <c r="BX22" s="192"/>
      <c r="BY22" s="192"/>
      <c r="BZ22" s="192"/>
      <c r="CA22" s="192"/>
      <c r="CB22" s="192"/>
      <c r="CC22" s="192"/>
      <c r="CD22" s="192"/>
      <c r="CE22" s="192"/>
      <c r="CF22" s="192"/>
      <c r="CG22" s="192"/>
      <c r="CH22" s="192"/>
      <c r="CI22" s="192"/>
      <c r="CJ22" s="192"/>
      <c r="CK22" s="192"/>
      <c r="CL22" s="192"/>
      <c r="CM22" s="192"/>
      <c r="CN22" s="192"/>
      <c r="CO22" s="192"/>
      <c r="CP22" s="192"/>
      <c r="CQ22" s="192"/>
      <c r="CR22" s="192"/>
      <c r="CS22" s="192"/>
      <c r="CT22" s="192"/>
      <c r="CU22" s="192"/>
      <c r="CV22" s="192"/>
      <c r="CW22" s="192"/>
      <c r="CX22" s="192"/>
      <c r="CY22" s="192"/>
      <c r="CZ22" s="192"/>
      <c r="DA22" s="192"/>
      <c r="DB22" s="192"/>
      <c r="DC22" s="192"/>
      <c r="DD22" s="192"/>
      <c r="DE22" s="192"/>
      <c r="DF22" s="192"/>
      <c r="DG22" s="192"/>
      <c r="DH22" s="192"/>
      <c r="DI22" s="192"/>
      <c r="DJ22" s="192"/>
      <c r="DK22" s="192"/>
      <c r="DL22" s="192"/>
      <c r="DM22" s="192"/>
      <c r="DN22" s="192"/>
      <c r="DO22" s="192"/>
      <c r="DP22" s="192"/>
      <c r="DQ22" s="192"/>
      <c r="DR22" s="192"/>
      <c r="DS22" s="192"/>
      <c r="DT22" s="192"/>
      <c r="DU22" s="192"/>
      <c r="DV22" s="192"/>
      <c r="DW22" s="192"/>
      <c r="DX22" s="192"/>
      <c r="DY22" s="192"/>
      <c r="DZ22" s="192"/>
      <c r="EA22" s="192"/>
      <c r="EB22" s="192"/>
      <c r="EC22" s="192"/>
      <c r="ED22" s="192"/>
      <c r="EE22" s="192"/>
    </row>
    <row r="23" spans="1:135">
      <c r="A23" s="201">
        <v>43566</v>
      </c>
      <c r="B23" s="192"/>
      <c r="C23" s="192"/>
      <c r="D23" s="192"/>
      <c r="E23" s="192"/>
      <c r="F23" s="192"/>
      <c r="G23" s="192"/>
      <c r="H23" s="192"/>
      <c r="I23" s="194"/>
      <c r="J23" s="195"/>
      <c r="K23" s="192"/>
      <c r="L23" s="192"/>
      <c r="M23" s="192"/>
      <c r="N23" s="192"/>
      <c r="O23" s="192"/>
      <c r="P23" s="193"/>
      <c r="Q23" s="194"/>
      <c r="R23" s="195"/>
      <c r="S23" s="192"/>
      <c r="T23" s="192"/>
      <c r="U23" s="192"/>
      <c r="V23" s="192"/>
      <c r="W23" s="192"/>
      <c r="X23" s="193"/>
      <c r="Y23" s="198">
        <v>41740</v>
      </c>
      <c r="Z23" s="195">
        <v>0.92</v>
      </c>
      <c r="AA23" s="195">
        <v>0.91</v>
      </c>
      <c r="AB23" s="195">
        <v>0.93</v>
      </c>
      <c r="AC23" s="195">
        <v>0.92</v>
      </c>
      <c r="AD23" s="195">
        <v>0.64</v>
      </c>
      <c r="AE23" s="195">
        <v>0.69</v>
      </c>
      <c r="AF23" s="193">
        <v>0.67</v>
      </c>
      <c r="AG23" s="198"/>
      <c r="AH23" s="195"/>
      <c r="AI23" s="192"/>
      <c r="AJ23" s="192"/>
      <c r="AK23" s="192"/>
      <c r="AL23" s="192"/>
      <c r="AM23" s="192"/>
      <c r="AN23" s="193"/>
      <c r="AO23" s="198"/>
      <c r="AP23" s="195"/>
      <c r="AQ23" s="192"/>
      <c r="AR23" s="192"/>
      <c r="AS23" s="192"/>
      <c r="AT23" s="192"/>
      <c r="AU23" s="192"/>
      <c r="AV23" s="193"/>
      <c r="AW23" s="198"/>
      <c r="AX23" s="195"/>
      <c r="AY23" s="192"/>
      <c r="AZ23" s="192"/>
      <c r="BA23" s="192"/>
      <c r="BB23" s="192"/>
      <c r="BC23" s="192"/>
      <c r="BD23" s="193"/>
      <c r="BE23" s="198"/>
      <c r="BF23" s="195"/>
      <c r="BG23" s="192"/>
      <c r="BH23" s="192"/>
      <c r="BI23" s="192"/>
      <c r="BJ23" s="192"/>
      <c r="BK23" s="192"/>
      <c r="BL23" s="193"/>
      <c r="BM23" s="194"/>
      <c r="BN23" s="195"/>
      <c r="BO23" s="192"/>
      <c r="BP23" s="192"/>
      <c r="BQ23" s="192"/>
      <c r="BR23" s="192"/>
      <c r="BS23" s="192"/>
      <c r="BU23" s="194"/>
      <c r="BV23" s="192"/>
      <c r="BW23" s="192"/>
      <c r="BX23" s="192"/>
      <c r="BY23" s="192"/>
      <c r="BZ23" s="192"/>
      <c r="CA23" s="192"/>
      <c r="CB23" s="192"/>
      <c r="CC23" s="192"/>
      <c r="CD23" s="192"/>
      <c r="CE23" s="192"/>
      <c r="CF23" s="192"/>
      <c r="CG23" s="192"/>
      <c r="CH23" s="192"/>
      <c r="CI23" s="192"/>
      <c r="CJ23" s="192"/>
      <c r="CK23" s="192"/>
      <c r="CL23" s="192"/>
      <c r="CM23" s="192"/>
      <c r="CN23" s="192"/>
      <c r="CO23" s="192"/>
      <c r="CP23" s="192"/>
      <c r="CQ23" s="192"/>
      <c r="CR23" s="192"/>
      <c r="CS23" s="192"/>
      <c r="CT23" s="192"/>
      <c r="CU23" s="192"/>
      <c r="CV23" s="192"/>
      <c r="CW23" s="192"/>
      <c r="CX23" s="192"/>
      <c r="CY23" s="192"/>
      <c r="CZ23" s="192"/>
      <c r="DA23" s="192"/>
      <c r="DB23" s="192"/>
      <c r="DC23" s="192"/>
      <c r="DD23" s="192"/>
      <c r="DE23" s="192"/>
      <c r="DF23" s="192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  <c r="ED23" s="192"/>
      <c r="EE23" s="192"/>
    </row>
    <row r="24" spans="1:135">
      <c r="A24" s="201">
        <v>43573</v>
      </c>
      <c r="B24" s="192"/>
      <c r="C24" s="192"/>
      <c r="D24" s="192"/>
      <c r="E24" s="192"/>
      <c r="F24" s="192"/>
      <c r="G24" s="192"/>
      <c r="H24" s="192"/>
      <c r="I24" s="194"/>
      <c r="J24" s="195"/>
      <c r="K24" s="192"/>
      <c r="L24" s="192"/>
      <c r="M24" s="192"/>
      <c r="N24" s="192"/>
      <c r="O24" s="192"/>
      <c r="P24" s="193"/>
      <c r="Q24" s="194"/>
      <c r="R24" s="195"/>
      <c r="S24" s="192"/>
      <c r="T24" s="192"/>
      <c r="U24" s="192"/>
      <c r="V24" s="192"/>
      <c r="W24" s="192"/>
      <c r="X24" s="193"/>
      <c r="Y24" s="198">
        <v>41747</v>
      </c>
      <c r="Z24" s="195">
        <v>0.94</v>
      </c>
      <c r="AA24" s="195">
        <v>0.93</v>
      </c>
      <c r="AB24" s="195">
        <v>0.95</v>
      </c>
      <c r="AC24" s="195">
        <v>0.94</v>
      </c>
      <c r="AD24" s="195">
        <v>0.72</v>
      </c>
      <c r="AE24" s="195">
        <v>0.74</v>
      </c>
      <c r="AF24" s="193">
        <v>0.71</v>
      </c>
      <c r="AG24" s="198"/>
      <c r="AH24" s="195"/>
      <c r="AI24" s="192"/>
      <c r="AJ24" s="192"/>
      <c r="AK24" s="192"/>
      <c r="AL24" s="192"/>
      <c r="AM24" s="192"/>
      <c r="AN24" s="193"/>
      <c r="AO24" s="198"/>
      <c r="AP24" s="195"/>
      <c r="AQ24" s="192"/>
      <c r="AR24" s="192"/>
      <c r="AS24" s="192"/>
      <c r="AT24" s="192"/>
      <c r="AU24" s="192"/>
      <c r="AV24" s="193"/>
      <c r="AW24" s="198"/>
      <c r="AX24" s="195"/>
      <c r="AY24" s="192"/>
      <c r="AZ24" s="192"/>
      <c r="BA24" s="192"/>
      <c r="BB24" s="192"/>
      <c r="BC24" s="192"/>
      <c r="BD24" s="193"/>
      <c r="BE24" s="198"/>
      <c r="BF24" s="195"/>
      <c r="BG24" s="192"/>
      <c r="BH24" s="192"/>
      <c r="BI24" s="192"/>
      <c r="BJ24" s="192"/>
      <c r="BK24" s="192"/>
      <c r="BL24" s="193"/>
      <c r="BM24" s="194"/>
      <c r="BN24" s="195"/>
      <c r="BO24" s="192"/>
      <c r="BP24" s="192"/>
      <c r="BQ24" s="192"/>
      <c r="BR24" s="192"/>
      <c r="BS24" s="192"/>
      <c r="BU24" s="194"/>
      <c r="BV24" s="192"/>
      <c r="BW24" s="192"/>
      <c r="BX24" s="192"/>
      <c r="BY24" s="192"/>
      <c r="BZ24" s="192"/>
      <c r="CA24" s="192"/>
      <c r="CB24" s="192"/>
      <c r="CC24" s="192"/>
      <c r="CD24" s="192"/>
      <c r="CE24" s="192"/>
      <c r="CF24" s="192"/>
      <c r="CG24" s="192"/>
      <c r="CH24" s="192"/>
      <c r="CI24" s="192"/>
      <c r="CJ24" s="192"/>
      <c r="CK24" s="192"/>
      <c r="CL24" s="192"/>
      <c r="CM24" s="192"/>
      <c r="CN24" s="192"/>
      <c r="CO24" s="192"/>
      <c r="CP24" s="192"/>
      <c r="CQ24" s="192"/>
      <c r="CR24" s="192"/>
      <c r="CS24" s="192"/>
      <c r="CT24" s="192"/>
      <c r="CU24" s="192"/>
      <c r="CV24" s="192"/>
      <c r="CW24" s="192"/>
      <c r="CX24" s="192"/>
      <c r="CY24" s="192"/>
      <c r="CZ24" s="192"/>
      <c r="DA24" s="192"/>
      <c r="DB24" s="192"/>
      <c r="DC24" s="192"/>
      <c r="DD24" s="192"/>
      <c r="DE24" s="192"/>
      <c r="DF24" s="192"/>
      <c r="DG24" s="192"/>
      <c r="DH24" s="192"/>
      <c r="DI24" s="192"/>
      <c r="DJ24" s="192"/>
      <c r="DK24" s="192"/>
      <c r="DL24" s="192"/>
      <c r="DM24" s="192"/>
      <c r="DN24" s="192"/>
      <c r="DO24" s="192"/>
      <c r="DP24" s="192"/>
      <c r="DQ24" s="192"/>
      <c r="DR24" s="192"/>
      <c r="DS24" s="192"/>
      <c r="DT24" s="192"/>
      <c r="DU24" s="192"/>
      <c r="DV24" s="192"/>
      <c r="DW24" s="192"/>
      <c r="DX24" s="192"/>
      <c r="DY24" s="192"/>
      <c r="DZ24" s="192"/>
      <c r="EA24" s="192"/>
      <c r="EB24" s="192"/>
      <c r="EC24" s="192"/>
      <c r="ED24" s="192"/>
      <c r="EE24" s="192"/>
    </row>
    <row r="25" spans="1:135">
      <c r="B25" s="192"/>
      <c r="C25" s="192"/>
      <c r="D25" s="192"/>
      <c r="E25" s="192"/>
      <c r="F25" s="192"/>
      <c r="G25" s="192"/>
      <c r="H25" s="192"/>
      <c r="I25" s="194"/>
      <c r="J25" s="195"/>
      <c r="K25" s="192"/>
      <c r="L25" s="192"/>
      <c r="M25" s="192"/>
      <c r="N25" s="192"/>
      <c r="O25" s="192"/>
      <c r="P25" s="193"/>
      <c r="Q25" s="194"/>
      <c r="R25" s="195"/>
      <c r="S25" s="192"/>
      <c r="T25" s="192"/>
      <c r="U25" s="192"/>
      <c r="V25" s="192"/>
      <c r="W25" s="192"/>
      <c r="X25" s="193"/>
      <c r="Y25" s="198"/>
      <c r="Z25" s="195"/>
      <c r="AA25" s="195"/>
      <c r="AB25" s="195"/>
      <c r="AC25" s="195"/>
      <c r="AD25" s="195"/>
      <c r="AE25" s="195"/>
      <c r="AF25" s="193"/>
      <c r="AG25" s="198"/>
      <c r="AH25" s="195"/>
      <c r="AI25" s="192"/>
      <c r="AJ25" s="192"/>
      <c r="AK25" s="192"/>
      <c r="AL25" s="192"/>
      <c r="AM25" s="192"/>
      <c r="AN25" s="193"/>
      <c r="AO25" s="198"/>
      <c r="AP25" s="195"/>
      <c r="AQ25" s="192"/>
      <c r="AR25" s="192"/>
      <c r="AS25" s="192"/>
      <c r="AT25" s="192"/>
      <c r="AU25" s="192"/>
      <c r="AV25" s="193"/>
      <c r="AW25" s="198"/>
      <c r="AX25" s="195"/>
      <c r="AY25" s="192"/>
      <c r="AZ25" s="192"/>
      <c r="BA25" s="192"/>
      <c r="BB25" s="192"/>
      <c r="BC25" s="192"/>
      <c r="BD25" s="193"/>
      <c r="BE25" s="198"/>
      <c r="BF25" s="195"/>
      <c r="BG25" s="192"/>
      <c r="BH25" s="192"/>
      <c r="BI25" s="192"/>
      <c r="BJ25" s="192"/>
      <c r="BK25" s="192"/>
      <c r="BL25" s="193"/>
      <c r="BM25" s="194"/>
      <c r="BN25" s="195"/>
      <c r="BO25" s="192"/>
      <c r="BP25" s="192"/>
      <c r="BQ25" s="192"/>
      <c r="BR25" s="192"/>
      <c r="BS25" s="192"/>
      <c r="BU25" s="194"/>
      <c r="BV25" s="192"/>
      <c r="BW25" s="192"/>
      <c r="BX25" s="192"/>
      <c r="BY25" s="192"/>
      <c r="BZ25" s="192"/>
      <c r="CA25" s="192"/>
      <c r="CB25" s="192"/>
      <c r="CC25" s="192"/>
      <c r="CD25" s="192"/>
      <c r="CE25" s="192"/>
      <c r="CF25" s="192"/>
      <c r="CG25" s="192"/>
      <c r="CH25" s="192"/>
      <c r="CI25" s="192"/>
      <c r="CJ25" s="192"/>
      <c r="CK25" s="192"/>
      <c r="CL25" s="192"/>
      <c r="CM25" s="192"/>
      <c r="CN25" s="192"/>
      <c r="CO25" s="192"/>
      <c r="CP25" s="192"/>
      <c r="CQ25" s="192"/>
      <c r="CR25" s="192"/>
      <c r="CS25" s="192"/>
      <c r="CT25" s="192"/>
      <c r="CU25" s="192"/>
      <c r="CV25" s="192"/>
      <c r="CW25" s="192"/>
      <c r="CX25" s="192"/>
      <c r="CY25" s="192"/>
      <c r="CZ25" s="192"/>
      <c r="DA25" s="192"/>
      <c r="DB25" s="192"/>
      <c r="DC25" s="192"/>
      <c r="DD25" s="192"/>
      <c r="DE25" s="192"/>
      <c r="DF25" s="192"/>
      <c r="DG25" s="192"/>
      <c r="DH25" s="192"/>
      <c r="DI25" s="192"/>
      <c r="DJ25" s="192"/>
      <c r="DK25" s="192"/>
      <c r="DL25" s="192"/>
      <c r="DM25" s="192"/>
      <c r="DN25" s="192"/>
      <c r="DO25" s="192"/>
      <c r="DP25" s="192"/>
      <c r="DQ25" s="192"/>
      <c r="DR25" s="192"/>
      <c r="DS25" s="192"/>
      <c r="DT25" s="192"/>
      <c r="DU25" s="192"/>
      <c r="DV25" s="192"/>
      <c r="DW25" s="192"/>
      <c r="DX25" s="192"/>
      <c r="DY25" s="192"/>
      <c r="DZ25" s="192"/>
      <c r="EA25" s="192"/>
      <c r="EB25" s="192"/>
      <c r="EC25" s="192"/>
      <c r="ED25" s="192"/>
      <c r="EE25" s="192"/>
    </row>
    <row r="26" spans="1:135">
      <c r="B26" s="192"/>
      <c r="C26" s="192"/>
      <c r="D26" s="192"/>
      <c r="E26" s="192"/>
      <c r="F26" s="192"/>
      <c r="G26" s="192"/>
      <c r="H26" s="192"/>
      <c r="I26" s="194"/>
      <c r="J26" s="195"/>
      <c r="K26" s="192"/>
      <c r="L26" s="192"/>
      <c r="M26" s="192"/>
      <c r="N26" s="192"/>
      <c r="O26" s="192"/>
      <c r="P26" s="193"/>
      <c r="Q26" s="194"/>
      <c r="R26" s="195"/>
      <c r="S26" s="192"/>
      <c r="T26" s="192"/>
      <c r="U26" s="192"/>
      <c r="V26" s="192"/>
      <c r="W26" s="192"/>
      <c r="X26" s="193"/>
      <c r="Y26" s="198"/>
      <c r="Z26" s="195"/>
      <c r="AA26" s="195"/>
      <c r="AB26" s="195"/>
      <c r="AC26" s="195"/>
      <c r="AD26" s="195"/>
      <c r="AE26" s="195"/>
      <c r="AF26" s="193"/>
      <c r="AG26" s="198"/>
      <c r="AH26" s="195"/>
      <c r="AI26" s="192"/>
      <c r="AJ26" s="192"/>
      <c r="AK26" s="192"/>
      <c r="AL26" s="192"/>
      <c r="AM26" s="192"/>
      <c r="AN26" s="193"/>
      <c r="AO26" s="198"/>
      <c r="AP26" s="195"/>
      <c r="AQ26" s="192"/>
      <c r="AR26" s="192"/>
      <c r="AS26" s="192"/>
      <c r="AT26" s="192"/>
      <c r="AU26" s="192"/>
      <c r="AV26" s="193"/>
      <c r="AW26" s="198"/>
      <c r="AX26" s="195"/>
      <c r="AY26" s="192"/>
      <c r="AZ26" s="192"/>
      <c r="BA26" s="192"/>
      <c r="BB26" s="192"/>
      <c r="BC26" s="192"/>
      <c r="BD26" s="193"/>
      <c r="BE26" s="198"/>
      <c r="BF26" s="195"/>
      <c r="BG26" s="192"/>
      <c r="BH26" s="192"/>
      <c r="BI26" s="192"/>
      <c r="BJ26" s="192"/>
      <c r="BK26" s="192"/>
      <c r="BL26" s="193"/>
      <c r="BM26" s="194"/>
      <c r="BN26" s="195"/>
      <c r="BO26" s="192"/>
      <c r="BP26" s="192"/>
      <c r="BQ26" s="192"/>
      <c r="BR26" s="192"/>
      <c r="BS26" s="192"/>
      <c r="BU26" s="194"/>
      <c r="BV26" s="192"/>
      <c r="BW26" s="192"/>
      <c r="BX26" s="192"/>
      <c r="BY26" s="192"/>
      <c r="BZ26" s="192"/>
      <c r="CA26" s="192"/>
      <c r="CB26" s="192"/>
      <c r="CC26" s="192"/>
      <c r="CD26" s="192"/>
      <c r="CE26" s="192"/>
      <c r="CF26" s="192"/>
      <c r="CG26" s="192"/>
      <c r="CH26" s="192"/>
      <c r="CI26" s="192"/>
      <c r="CJ26" s="192"/>
      <c r="CK26" s="192"/>
      <c r="CL26" s="192"/>
      <c r="CM26" s="192"/>
      <c r="CN26" s="192"/>
      <c r="CO26" s="192"/>
      <c r="CP26" s="192"/>
      <c r="CQ26" s="192"/>
      <c r="CR26" s="192"/>
      <c r="CS26" s="192"/>
      <c r="CT26" s="192"/>
      <c r="CU26" s="192"/>
      <c r="CV26" s="192"/>
      <c r="CW26" s="192"/>
      <c r="CX26" s="192"/>
      <c r="CY26" s="192"/>
      <c r="CZ26" s="192"/>
      <c r="DA26" s="192"/>
      <c r="DB26" s="192"/>
      <c r="DC26" s="192"/>
      <c r="DD26" s="192"/>
      <c r="DE26" s="192"/>
      <c r="DF26" s="192"/>
      <c r="DG26" s="192"/>
      <c r="DH26" s="192"/>
      <c r="DI26" s="192"/>
      <c r="DJ26" s="192"/>
      <c r="DK26" s="192"/>
      <c r="DL26" s="192"/>
      <c r="DM26" s="192"/>
      <c r="DN26" s="192"/>
      <c r="DO26" s="192"/>
      <c r="DP26" s="192"/>
      <c r="DQ26" s="192"/>
      <c r="DR26" s="192"/>
      <c r="DS26" s="192"/>
      <c r="DT26" s="192"/>
      <c r="DU26" s="192"/>
      <c r="DV26" s="192"/>
      <c r="DW26" s="192"/>
      <c r="DX26" s="192"/>
      <c r="DY26" s="192"/>
      <c r="DZ26" s="192"/>
      <c r="EA26" s="192"/>
      <c r="EB26" s="192"/>
      <c r="EC26" s="192"/>
      <c r="ED26" s="192"/>
      <c r="EE26" s="192"/>
    </row>
    <row r="27" spans="1:135">
      <c r="B27" s="199"/>
      <c r="C27" s="192"/>
      <c r="D27" s="192"/>
      <c r="E27" s="192"/>
      <c r="F27" s="192"/>
      <c r="G27" s="192"/>
      <c r="H27" s="193"/>
      <c r="I27" s="194"/>
      <c r="J27" s="195"/>
      <c r="K27" s="192"/>
      <c r="L27" s="192"/>
      <c r="M27" s="192"/>
      <c r="N27" s="192"/>
      <c r="O27" s="192"/>
      <c r="P27" s="193"/>
      <c r="Q27" s="194"/>
      <c r="R27" s="195"/>
      <c r="S27" s="192"/>
      <c r="T27" s="192"/>
      <c r="U27" s="192"/>
      <c r="V27" s="192"/>
      <c r="W27" s="192"/>
      <c r="X27" s="193"/>
      <c r="Y27" s="198"/>
      <c r="Z27" s="195"/>
      <c r="AA27" s="195"/>
      <c r="AB27" s="195"/>
      <c r="AC27" s="195"/>
      <c r="AD27" s="195"/>
      <c r="AE27" s="195"/>
      <c r="AF27" s="193"/>
      <c r="AG27" s="198"/>
      <c r="AH27" s="195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3"/>
      <c r="AW27" s="198"/>
      <c r="AX27" s="195"/>
      <c r="AY27" s="192"/>
      <c r="AZ27" s="192"/>
      <c r="BA27" s="192"/>
      <c r="BB27" s="192"/>
      <c r="BC27" s="192"/>
      <c r="BD27" s="193"/>
      <c r="BE27" s="198"/>
      <c r="BF27" s="195"/>
      <c r="BG27" s="192"/>
      <c r="BH27" s="192"/>
      <c r="BI27" s="192"/>
      <c r="BJ27" s="192"/>
      <c r="BK27" s="192"/>
      <c r="BL27" s="193"/>
      <c r="BM27" s="194"/>
      <c r="BN27" s="195"/>
      <c r="BO27" s="192"/>
      <c r="BP27" s="192"/>
      <c r="BQ27" s="192"/>
      <c r="BR27" s="192"/>
      <c r="BS27" s="192"/>
      <c r="BU27" s="194"/>
      <c r="BV27" s="192"/>
      <c r="BW27" s="192"/>
      <c r="BX27" s="192"/>
      <c r="BY27" s="192"/>
      <c r="BZ27" s="192"/>
      <c r="CA27" s="192"/>
      <c r="CB27" s="192"/>
      <c r="CC27" s="192"/>
      <c r="CD27" s="192"/>
      <c r="CE27" s="192"/>
      <c r="CF27" s="192"/>
      <c r="CG27" s="192"/>
      <c r="CH27" s="192"/>
      <c r="CI27" s="192"/>
      <c r="CJ27" s="192"/>
      <c r="CK27" s="192"/>
      <c r="CL27" s="192"/>
      <c r="CM27" s="192"/>
      <c r="CN27" s="192"/>
      <c r="CO27" s="192"/>
      <c r="CP27" s="192"/>
      <c r="CQ27" s="192"/>
      <c r="CR27" s="192"/>
      <c r="CS27" s="192"/>
      <c r="CT27" s="192"/>
      <c r="CU27" s="192"/>
      <c r="CV27" s="192"/>
      <c r="CW27" s="192"/>
      <c r="CX27" s="192"/>
      <c r="CY27" s="192"/>
      <c r="CZ27" s="192"/>
      <c r="DA27" s="192"/>
      <c r="DB27" s="192"/>
      <c r="DC27" s="192"/>
      <c r="DD27" s="192"/>
      <c r="DE27" s="192"/>
      <c r="DF27" s="192"/>
      <c r="DG27" s="192"/>
      <c r="DH27" s="192"/>
      <c r="DI27" s="192"/>
      <c r="DJ27" s="192"/>
      <c r="DK27" s="192"/>
      <c r="DL27" s="192"/>
      <c r="DM27" s="192"/>
      <c r="DN27" s="192"/>
      <c r="DO27" s="192"/>
      <c r="DP27" s="192"/>
      <c r="DQ27" s="192"/>
      <c r="DR27" s="192"/>
      <c r="DS27" s="192"/>
      <c r="DT27" s="192"/>
      <c r="DU27" s="192"/>
      <c r="DV27" s="192"/>
      <c r="DW27" s="192"/>
      <c r="DX27" s="192"/>
      <c r="DY27" s="192"/>
      <c r="DZ27" s="192"/>
      <c r="EA27" s="192"/>
      <c r="EB27" s="192"/>
      <c r="EC27" s="192"/>
      <c r="ED27" s="192"/>
      <c r="EE27" s="192"/>
    </row>
    <row r="28" spans="1:135">
      <c r="B28" s="192"/>
      <c r="C28" s="192"/>
      <c r="D28" s="192"/>
      <c r="E28" s="192"/>
      <c r="F28" s="192"/>
      <c r="G28" s="192"/>
      <c r="H28" s="193"/>
      <c r="I28" s="194"/>
      <c r="J28" s="195"/>
      <c r="K28" s="192"/>
      <c r="L28" s="192"/>
      <c r="M28" s="192"/>
      <c r="N28" s="192"/>
      <c r="O28" s="192"/>
      <c r="P28" s="193"/>
      <c r="Q28" s="194"/>
      <c r="R28" s="195"/>
      <c r="S28" s="192"/>
      <c r="T28" s="192"/>
      <c r="U28" s="192"/>
      <c r="V28" s="192"/>
      <c r="W28" s="192"/>
      <c r="X28" s="193"/>
      <c r="Y28" s="198"/>
      <c r="Z28" s="195"/>
      <c r="AA28" s="195"/>
      <c r="AB28" s="195"/>
      <c r="AC28" s="195"/>
      <c r="AD28" s="195"/>
      <c r="AE28" s="195"/>
      <c r="AF28" s="193"/>
      <c r="AG28" s="198"/>
      <c r="AH28" s="195"/>
      <c r="AI28" s="192"/>
      <c r="AJ28" s="192"/>
      <c r="AK28" s="192"/>
      <c r="AL28" s="192"/>
      <c r="AM28" s="192"/>
      <c r="AN28" s="193"/>
      <c r="AO28" s="198"/>
      <c r="AP28" s="195"/>
      <c r="AQ28" s="192"/>
      <c r="AR28" s="192"/>
      <c r="AS28" s="192"/>
      <c r="AT28" s="192"/>
      <c r="AU28" s="192"/>
      <c r="AV28" s="193"/>
      <c r="AW28" s="198"/>
      <c r="AX28" s="195"/>
      <c r="AY28" s="192"/>
      <c r="AZ28" s="192"/>
      <c r="BA28" s="192"/>
      <c r="BB28" s="192"/>
      <c r="BC28" s="192"/>
      <c r="BD28" s="193"/>
      <c r="BE28" s="198"/>
      <c r="BF28" s="195"/>
      <c r="BG28" s="192"/>
      <c r="BH28" s="192"/>
      <c r="BI28" s="192"/>
      <c r="BJ28" s="192"/>
      <c r="BK28" s="192"/>
      <c r="BL28" s="193"/>
      <c r="BM28" s="194"/>
      <c r="BN28" s="195"/>
      <c r="BO28" s="192"/>
      <c r="BP28" s="192"/>
      <c r="BQ28" s="192"/>
      <c r="BR28" s="192"/>
      <c r="BS28" s="192"/>
      <c r="BU28" s="194"/>
      <c r="BV28" s="192"/>
      <c r="BW28" s="192"/>
      <c r="BX28" s="192"/>
      <c r="BY28" s="192"/>
      <c r="BZ28" s="192"/>
      <c r="CA28" s="192"/>
      <c r="CB28" s="192"/>
      <c r="CC28" s="192"/>
      <c r="CD28" s="192"/>
      <c r="CE28" s="192"/>
      <c r="CF28" s="192"/>
      <c r="CG28" s="192"/>
      <c r="CH28" s="192"/>
      <c r="CI28" s="192"/>
      <c r="CJ28" s="192"/>
      <c r="CK28" s="192"/>
      <c r="CL28" s="192"/>
      <c r="CM28" s="192"/>
      <c r="CN28" s="192"/>
      <c r="CO28" s="192"/>
      <c r="CP28" s="192"/>
      <c r="CQ28" s="192"/>
      <c r="CR28" s="192"/>
      <c r="CS28" s="192"/>
      <c r="CT28" s="192"/>
      <c r="CU28" s="192"/>
      <c r="CV28" s="192"/>
      <c r="CW28" s="192"/>
      <c r="CX28" s="192"/>
      <c r="CY28" s="192"/>
      <c r="CZ28" s="192"/>
      <c r="DA28" s="192"/>
      <c r="DB28" s="192"/>
      <c r="DC28" s="192"/>
      <c r="DD28" s="192"/>
      <c r="DE28" s="192"/>
      <c r="DF28" s="192"/>
      <c r="DG28" s="192"/>
      <c r="DH28" s="192"/>
      <c r="DI28" s="192"/>
      <c r="DJ28" s="192"/>
      <c r="DK28" s="192"/>
      <c r="DL28" s="192"/>
      <c r="DM28" s="192"/>
      <c r="DN28" s="192"/>
      <c r="DO28" s="192"/>
      <c r="DP28" s="192"/>
      <c r="DQ28" s="192"/>
      <c r="DR28" s="192"/>
      <c r="DS28" s="192"/>
      <c r="DT28" s="192"/>
      <c r="DU28" s="192"/>
      <c r="DV28" s="192"/>
      <c r="DW28" s="192"/>
      <c r="DX28" s="192"/>
      <c r="DY28" s="192"/>
      <c r="DZ28" s="192"/>
      <c r="EA28" s="192"/>
      <c r="EB28" s="192"/>
      <c r="EC28" s="192"/>
      <c r="ED28" s="192"/>
      <c r="EE28" s="192"/>
    </row>
    <row r="29" spans="1:135">
      <c r="B29" s="192"/>
      <c r="C29" s="192"/>
      <c r="D29" s="192"/>
      <c r="E29" s="192"/>
      <c r="F29" s="192"/>
      <c r="G29" s="192"/>
      <c r="H29" s="193"/>
      <c r="I29" s="194"/>
      <c r="J29" s="195"/>
      <c r="K29" s="192"/>
      <c r="L29" s="192"/>
      <c r="M29" s="192"/>
      <c r="N29" s="192"/>
      <c r="O29" s="192"/>
      <c r="P29" s="193"/>
      <c r="Q29" s="194"/>
      <c r="R29" s="195"/>
      <c r="S29" s="192"/>
      <c r="T29" s="192"/>
      <c r="U29" s="192"/>
      <c r="V29" s="192"/>
      <c r="W29" s="192"/>
      <c r="X29" s="193"/>
      <c r="Y29" s="198"/>
      <c r="Z29" s="195"/>
      <c r="AA29" s="195"/>
      <c r="AB29" s="195"/>
      <c r="AC29" s="195"/>
      <c r="AD29" s="195"/>
      <c r="AE29" s="195"/>
      <c r="AF29" s="193"/>
      <c r="AG29" s="198"/>
      <c r="AH29" s="195"/>
      <c r="AI29" s="192"/>
      <c r="AJ29" s="192"/>
      <c r="AK29" s="192"/>
      <c r="AL29" s="192"/>
      <c r="AM29" s="192"/>
      <c r="AN29" s="193"/>
      <c r="AO29" s="198"/>
      <c r="AP29" s="195"/>
      <c r="AQ29" s="192"/>
      <c r="AR29" s="192"/>
      <c r="AS29" s="192"/>
      <c r="AT29" s="192"/>
      <c r="AU29" s="192"/>
      <c r="AV29" s="193"/>
      <c r="AW29" s="198"/>
      <c r="AX29" s="195"/>
      <c r="AY29" s="192"/>
      <c r="AZ29" s="192"/>
      <c r="BA29" s="192"/>
      <c r="BB29" s="192"/>
      <c r="BC29" s="192"/>
      <c r="BD29" s="193"/>
      <c r="BE29" s="198"/>
      <c r="BF29" s="195"/>
      <c r="BG29" s="192"/>
      <c r="BH29" s="192"/>
      <c r="BI29" s="192"/>
      <c r="BJ29" s="192"/>
      <c r="BK29" s="192"/>
      <c r="BL29" s="193"/>
      <c r="BM29" s="194"/>
      <c r="BN29" s="195"/>
      <c r="BO29" s="192"/>
      <c r="BP29" s="192"/>
      <c r="BQ29" s="192"/>
      <c r="BR29" s="192"/>
      <c r="BS29" s="192"/>
      <c r="BU29" s="194"/>
      <c r="BV29" s="192"/>
      <c r="BW29" s="192"/>
      <c r="BX29" s="192"/>
      <c r="BY29" s="192"/>
      <c r="BZ29" s="192"/>
      <c r="CA29" s="192"/>
      <c r="CB29" s="192"/>
      <c r="CC29" s="192"/>
      <c r="CD29" s="192"/>
      <c r="CE29" s="192"/>
      <c r="CF29" s="192"/>
      <c r="CG29" s="192"/>
      <c r="CH29" s="192"/>
      <c r="CI29" s="192"/>
      <c r="CJ29" s="192"/>
      <c r="CK29" s="192"/>
      <c r="CL29" s="192"/>
      <c r="CM29" s="192"/>
      <c r="CN29" s="192"/>
      <c r="CO29" s="192"/>
      <c r="CP29" s="192"/>
      <c r="CQ29" s="192"/>
      <c r="CR29" s="192"/>
      <c r="CS29" s="192"/>
      <c r="CT29" s="192"/>
      <c r="CU29" s="192"/>
      <c r="CV29" s="192"/>
      <c r="CW29" s="192"/>
      <c r="CX29" s="192"/>
      <c r="CY29" s="192"/>
      <c r="CZ29" s="192"/>
      <c r="DA29" s="192"/>
      <c r="DB29" s="192"/>
      <c r="DC29" s="192"/>
      <c r="DD29" s="192"/>
      <c r="DE29" s="192"/>
      <c r="DF29" s="192"/>
      <c r="DG29" s="192"/>
      <c r="DH29" s="192"/>
      <c r="DI29" s="192"/>
      <c r="DJ29" s="192"/>
      <c r="DK29" s="192"/>
      <c r="DL29" s="192"/>
      <c r="DM29" s="192"/>
      <c r="DN29" s="192"/>
      <c r="DO29" s="192"/>
      <c r="DP29" s="192"/>
      <c r="DQ29" s="192"/>
      <c r="DR29" s="192"/>
      <c r="DS29" s="192"/>
      <c r="DT29" s="192"/>
      <c r="DU29" s="192"/>
      <c r="DV29" s="192"/>
      <c r="DW29" s="192"/>
      <c r="DX29" s="192"/>
      <c r="DY29" s="192"/>
      <c r="DZ29" s="192"/>
      <c r="EA29" s="192"/>
      <c r="EB29" s="192"/>
      <c r="EC29" s="192"/>
      <c r="ED29" s="192"/>
      <c r="EE29" s="192"/>
    </row>
    <row r="30" spans="1:135">
      <c r="B30" s="192"/>
      <c r="C30" s="192"/>
      <c r="D30" s="192"/>
      <c r="E30" s="192"/>
      <c r="F30" s="192"/>
      <c r="G30" s="192"/>
      <c r="H30" s="193"/>
      <c r="I30" s="194"/>
      <c r="J30" s="195"/>
      <c r="K30" s="192"/>
      <c r="L30" s="192"/>
      <c r="M30" s="192"/>
      <c r="N30" s="192"/>
      <c r="O30" s="192"/>
      <c r="P30" s="193"/>
      <c r="Q30" s="194"/>
      <c r="R30" s="195"/>
      <c r="S30" s="192"/>
      <c r="T30" s="192"/>
      <c r="U30" s="192"/>
      <c r="V30" s="192"/>
      <c r="W30" s="192"/>
      <c r="X30" s="193"/>
      <c r="Y30" s="198"/>
      <c r="Z30" s="195"/>
      <c r="AA30" s="195"/>
      <c r="AB30" s="195"/>
      <c r="AC30" s="195"/>
      <c r="AD30" s="195"/>
      <c r="AE30" s="195"/>
      <c r="AF30" s="193"/>
      <c r="AG30" s="198"/>
      <c r="AH30" s="195"/>
      <c r="AI30" s="192"/>
      <c r="AJ30" s="192"/>
      <c r="AK30" s="192"/>
      <c r="AL30" s="192"/>
      <c r="AM30" s="192"/>
      <c r="AN30" s="193"/>
      <c r="AO30" s="198"/>
      <c r="AP30" s="195"/>
      <c r="AQ30" s="192"/>
      <c r="AR30" s="192"/>
      <c r="AS30" s="192"/>
      <c r="AT30" s="192"/>
      <c r="AU30" s="192"/>
      <c r="AV30" s="193"/>
      <c r="AW30" s="198"/>
      <c r="AX30" s="195"/>
      <c r="AY30" s="192"/>
      <c r="AZ30" s="192"/>
      <c r="BA30" s="192"/>
      <c r="BB30" s="192"/>
      <c r="BC30" s="192"/>
      <c r="BD30" s="193"/>
      <c r="BE30" s="198"/>
      <c r="BF30" s="195"/>
      <c r="BG30" s="192"/>
      <c r="BH30" s="192"/>
      <c r="BI30" s="192"/>
      <c r="BJ30" s="192"/>
      <c r="BK30" s="192"/>
      <c r="BL30" s="193"/>
      <c r="BM30" s="194"/>
      <c r="BN30" s="195"/>
      <c r="BO30" s="192"/>
      <c r="BP30" s="192"/>
      <c r="BQ30" s="192"/>
      <c r="BR30" s="192"/>
      <c r="BS30" s="192"/>
      <c r="BU30" s="194"/>
      <c r="BV30" s="192"/>
      <c r="BW30" s="192"/>
      <c r="BX30" s="192"/>
      <c r="BY30" s="192"/>
      <c r="BZ30" s="192"/>
      <c r="CA30" s="192"/>
      <c r="CB30" s="192"/>
      <c r="CC30" s="192"/>
      <c r="CD30" s="192"/>
      <c r="CE30" s="192"/>
      <c r="CF30" s="192"/>
      <c r="CG30" s="192"/>
      <c r="CH30" s="192"/>
      <c r="CI30" s="192"/>
      <c r="CJ30" s="192"/>
      <c r="CK30" s="192"/>
      <c r="CL30" s="192"/>
      <c r="CM30" s="192"/>
      <c r="CN30" s="192"/>
      <c r="CO30" s="192"/>
      <c r="CP30" s="192"/>
      <c r="CQ30" s="192"/>
      <c r="CR30" s="192"/>
      <c r="CS30" s="192"/>
      <c r="CT30" s="192"/>
      <c r="CU30" s="192"/>
      <c r="CV30" s="192"/>
      <c r="CW30" s="192"/>
      <c r="CX30" s="192"/>
      <c r="CY30" s="192"/>
      <c r="CZ30" s="192"/>
      <c r="DA30" s="192"/>
      <c r="DB30" s="192"/>
      <c r="DC30" s="192"/>
      <c r="DD30" s="192"/>
      <c r="DE30" s="192"/>
      <c r="DF30" s="192"/>
      <c r="DG30" s="192"/>
      <c r="DH30" s="192"/>
      <c r="DI30" s="192"/>
      <c r="DJ30" s="192"/>
      <c r="DK30" s="192"/>
      <c r="DL30" s="192"/>
      <c r="DM30" s="192"/>
      <c r="DN30" s="192"/>
      <c r="DO30" s="192"/>
      <c r="DP30" s="192"/>
      <c r="DQ30" s="192"/>
      <c r="DR30" s="192"/>
      <c r="DS30" s="192"/>
      <c r="DT30" s="192"/>
      <c r="DU30" s="192"/>
      <c r="DV30" s="192"/>
      <c r="DW30" s="192"/>
      <c r="DX30" s="192"/>
      <c r="DY30" s="192"/>
      <c r="DZ30" s="192"/>
      <c r="EA30" s="192"/>
      <c r="EB30" s="192"/>
      <c r="EC30" s="192"/>
      <c r="ED30" s="192"/>
      <c r="EE30" s="192"/>
    </row>
    <row r="31" spans="1:135">
      <c r="B31" s="192"/>
      <c r="C31" s="192"/>
      <c r="D31" s="192"/>
      <c r="E31" s="192"/>
      <c r="F31" s="192"/>
      <c r="G31" s="192"/>
      <c r="H31" s="193"/>
      <c r="I31" s="194"/>
      <c r="J31" s="195"/>
      <c r="K31" s="192"/>
      <c r="L31" s="192"/>
      <c r="M31" s="192"/>
      <c r="N31" s="192"/>
      <c r="O31" s="192"/>
      <c r="P31" s="193"/>
      <c r="Q31" s="194"/>
      <c r="R31" s="195"/>
      <c r="S31" s="192"/>
      <c r="T31" s="192"/>
      <c r="U31" s="192"/>
      <c r="V31" s="192"/>
      <c r="W31" s="192"/>
      <c r="X31" s="193"/>
      <c r="Y31" s="198"/>
      <c r="Z31" s="195"/>
      <c r="AA31" s="195"/>
      <c r="AB31" s="195"/>
      <c r="AC31" s="195"/>
      <c r="AD31" s="195"/>
      <c r="AE31" s="195"/>
      <c r="AF31" s="193"/>
      <c r="AG31" s="198"/>
      <c r="AH31" s="195"/>
      <c r="AI31" s="192"/>
      <c r="AJ31" s="192"/>
      <c r="AK31" s="192"/>
      <c r="AL31" s="192"/>
      <c r="AM31" s="192"/>
      <c r="AN31" s="193"/>
      <c r="AO31" s="198"/>
      <c r="AP31" s="195"/>
      <c r="AQ31" s="192"/>
      <c r="AR31" s="192"/>
      <c r="AS31" s="192"/>
      <c r="AT31" s="192"/>
      <c r="AU31" s="192"/>
      <c r="AV31" s="193"/>
      <c r="AW31" s="198"/>
      <c r="AX31" s="195"/>
      <c r="AY31" s="192"/>
      <c r="AZ31" s="192"/>
      <c r="BA31" s="192"/>
      <c r="BB31" s="192"/>
      <c r="BC31" s="192"/>
      <c r="BD31" s="193"/>
      <c r="BE31" s="198"/>
      <c r="BF31" s="195"/>
      <c r="BG31" s="192"/>
      <c r="BH31" s="192"/>
      <c r="BI31" s="192"/>
      <c r="BJ31" s="192"/>
      <c r="BK31" s="192"/>
      <c r="BL31" s="193"/>
      <c r="BM31" s="194"/>
      <c r="BN31" s="195"/>
      <c r="BO31" s="192"/>
      <c r="BP31" s="192"/>
      <c r="BQ31" s="192"/>
      <c r="BR31" s="192"/>
      <c r="BS31" s="192"/>
      <c r="BU31" s="194"/>
      <c r="BV31" s="192"/>
      <c r="BW31" s="192"/>
      <c r="BX31" s="192"/>
      <c r="BY31" s="192"/>
      <c r="BZ31" s="192"/>
      <c r="CA31" s="192"/>
      <c r="CB31" s="192"/>
      <c r="CC31" s="192"/>
      <c r="CD31" s="192"/>
      <c r="CE31" s="192"/>
      <c r="CF31" s="192"/>
      <c r="CG31" s="192"/>
      <c r="CH31" s="192"/>
      <c r="CI31" s="192"/>
      <c r="CJ31" s="192"/>
      <c r="CK31" s="192"/>
      <c r="CL31" s="192"/>
      <c r="CM31" s="192"/>
      <c r="CN31" s="192"/>
      <c r="CO31" s="192"/>
      <c r="CP31" s="192"/>
      <c r="CQ31" s="192"/>
      <c r="CR31" s="192"/>
      <c r="CS31" s="192"/>
      <c r="CT31" s="192"/>
      <c r="CU31" s="192"/>
      <c r="CV31" s="192"/>
      <c r="CW31" s="192"/>
      <c r="CX31" s="192"/>
      <c r="CY31" s="192"/>
      <c r="CZ31" s="192"/>
      <c r="DA31" s="192"/>
      <c r="DB31" s="192"/>
      <c r="DC31" s="192"/>
      <c r="DD31" s="192"/>
      <c r="DE31" s="192"/>
      <c r="DF31" s="192"/>
      <c r="DG31" s="192"/>
      <c r="DH31" s="192"/>
      <c r="DI31" s="192"/>
      <c r="DJ31" s="192"/>
      <c r="DK31" s="192"/>
      <c r="DL31" s="192"/>
      <c r="DM31" s="192"/>
      <c r="DN31" s="192"/>
      <c r="DO31" s="192"/>
      <c r="DP31" s="192"/>
      <c r="DQ31" s="192"/>
      <c r="DR31" s="192"/>
      <c r="DS31" s="192"/>
      <c r="DT31" s="192"/>
      <c r="DU31" s="192"/>
      <c r="DV31" s="192"/>
      <c r="DW31" s="192"/>
      <c r="DX31" s="192"/>
      <c r="DY31" s="192"/>
      <c r="DZ31" s="192"/>
      <c r="EA31" s="192"/>
      <c r="EB31" s="192"/>
      <c r="EC31" s="192"/>
      <c r="ED31" s="192"/>
      <c r="EE31" s="192"/>
    </row>
    <row r="32" spans="1:135">
      <c r="B32" s="192"/>
      <c r="C32" s="192"/>
      <c r="D32" s="192"/>
      <c r="E32" s="192"/>
      <c r="F32" s="192"/>
      <c r="G32" s="192"/>
      <c r="H32" s="193"/>
      <c r="I32" s="194"/>
      <c r="J32" s="195"/>
      <c r="K32" s="192"/>
      <c r="L32" s="192"/>
      <c r="M32" s="192"/>
      <c r="N32" s="192"/>
      <c r="O32" s="192"/>
      <c r="P32" s="193"/>
      <c r="Q32" s="194"/>
      <c r="R32" s="195"/>
      <c r="S32" s="192"/>
      <c r="T32" s="192"/>
      <c r="U32" s="192"/>
      <c r="V32" s="192"/>
      <c r="W32" s="192"/>
      <c r="X32" s="193"/>
      <c r="Y32" s="198"/>
      <c r="Z32" s="195"/>
      <c r="AA32" s="195"/>
      <c r="AB32" s="195"/>
      <c r="AC32" s="195"/>
      <c r="AD32" s="195"/>
      <c r="AE32" s="195"/>
      <c r="AF32" s="193"/>
      <c r="AG32" s="198"/>
      <c r="AH32" s="195"/>
      <c r="AI32" s="192"/>
      <c r="AJ32" s="192"/>
      <c r="AK32" s="192"/>
      <c r="AL32" s="192"/>
      <c r="AM32" s="192"/>
      <c r="AN32" s="193"/>
      <c r="AO32" s="198"/>
      <c r="AP32" s="195"/>
      <c r="AQ32" s="192"/>
      <c r="AR32" s="192"/>
      <c r="AS32" s="192"/>
      <c r="AT32" s="192"/>
      <c r="AU32" s="192"/>
      <c r="AV32" s="193"/>
      <c r="AW32" s="198"/>
      <c r="AX32" s="195"/>
      <c r="AY32" s="192"/>
      <c r="AZ32" s="192"/>
      <c r="BA32" s="192"/>
      <c r="BB32" s="192"/>
      <c r="BC32" s="192"/>
      <c r="BD32" s="193"/>
      <c r="BE32" s="198"/>
      <c r="BF32" s="195"/>
      <c r="BG32" s="192"/>
      <c r="BH32" s="192"/>
      <c r="BI32" s="192"/>
      <c r="BJ32" s="192"/>
      <c r="BK32" s="192"/>
      <c r="BL32" s="193"/>
      <c r="BM32" s="194"/>
      <c r="BN32" s="195"/>
      <c r="BO32" s="192"/>
      <c r="BP32" s="192"/>
      <c r="BQ32" s="192"/>
      <c r="BR32" s="192"/>
      <c r="BS32" s="192"/>
      <c r="BU32" s="194"/>
      <c r="BV32" s="192"/>
      <c r="BW32" s="192"/>
      <c r="BX32" s="192"/>
      <c r="BY32" s="192"/>
      <c r="BZ32" s="192"/>
      <c r="CA32" s="192"/>
      <c r="CB32" s="192"/>
      <c r="CC32" s="192"/>
      <c r="CD32" s="192"/>
      <c r="CE32" s="192"/>
      <c r="CF32" s="192"/>
      <c r="CG32" s="192"/>
      <c r="CH32" s="192"/>
      <c r="CI32" s="192"/>
      <c r="CJ32" s="192"/>
      <c r="CK32" s="192"/>
      <c r="CL32" s="192"/>
      <c r="CM32" s="192"/>
      <c r="CN32" s="192"/>
      <c r="CO32" s="192"/>
      <c r="CP32" s="192"/>
      <c r="CQ32" s="192"/>
      <c r="CR32" s="192"/>
      <c r="CS32" s="192"/>
      <c r="CT32" s="192"/>
      <c r="CU32" s="192"/>
      <c r="CV32" s="192"/>
      <c r="CW32" s="192"/>
      <c r="CX32" s="192"/>
      <c r="CY32" s="192"/>
      <c r="CZ32" s="192"/>
      <c r="DA32" s="192"/>
      <c r="DB32" s="192"/>
      <c r="DC32" s="192"/>
      <c r="DD32" s="192"/>
      <c r="DE32" s="192"/>
      <c r="DF32" s="192"/>
      <c r="DG32" s="192"/>
      <c r="DH32" s="192"/>
      <c r="DI32" s="192"/>
      <c r="DJ32" s="192"/>
      <c r="DK32" s="192"/>
      <c r="DL32" s="192"/>
      <c r="DM32" s="192"/>
      <c r="DN32" s="192"/>
      <c r="DO32" s="192"/>
      <c r="DP32" s="192"/>
      <c r="DQ32" s="192"/>
      <c r="DR32" s="192"/>
      <c r="DS32" s="192"/>
      <c r="DT32" s="192"/>
      <c r="DU32" s="192"/>
      <c r="DV32" s="192"/>
      <c r="DW32" s="192"/>
      <c r="DX32" s="192"/>
      <c r="DY32" s="192"/>
      <c r="DZ32" s="192"/>
      <c r="EA32" s="192"/>
      <c r="EB32" s="192"/>
      <c r="EC32" s="192"/>
      <c r="ED32" s="192"/>
      <c r="EE32" s="192"/>
    </row>
    <row r="33" spans="2:135">
      <c r="B33" s="192"/>
      <c r="C33" s="192"/>
      <c r="D33" s="192"/>
      <c r="E33" s="192"/>
      <c r="F33" s="192"/>
      <c r="G33" s="192"/>
      <c r="H33" s="193"/>
      <c r="I33" s="194"/>
      <c r="J33" s="195"/>
      <c r="K33" s="192"/>
      <c r="L33" s="192"/>
      <c r="M33" s="192"/>
      <c r="N33" s="192"/>
      <c r="O33" s="192"/>
      <c r="P33" s="193"/>
      <c r="Q33" s="194"/>
      <c r="R33" s="195"/>
      <c r="S33" s="192"/>
      <c r="T33" s="192"/>
      <c r="U33" s="192"/>
      <c r="V33" s="192"/>
      <c r="W33" s="192"/>
      <c r="X33" s="193"/>
      <c r="Y33" s="198"/>
      <c r="Z33" s="195"/>
      <c r="AA33" s="195"/>
      <c r="AB33" s="195"/>
      <c r="AC33" s="195"/>
      <c r="AD33" s="195"/>
      <c r="AE33" s="195"/>
      <c r="AF33" s="193"/>
      <c r="AG33" s="198"/>
      <c r="AH33" s="195"/>
      <c r="AI33" s="192"/>
      <c r="AJ33" s="192"/>
      <c r="AK33" s="192"/>
      <c r="AL33" s="192"/>
      <c r="AM33" s="192"/>
      <c r="AN33" s="193"/>
      <c r="AO33" s="198"/>
      <c r="AP33" s="195"/>
      <c r="AQ33" s="192"/>
      <c r="AR33" s="192"/>
      <c r="AS33" s="192"/>
      <c r="AT33" s="192"/>
      <c r="AU33" s="192"/>
      <c r="AV33" s="193"/>
      <c r="AW33" s="198"/>
      <c r="AX33" s="195"/>
      <c r="AY33" s="192"/>
      <c r="AZ33" s="192"/>
      <c r="BA33" s="192"/>
      <c r="BB33" s="192"/>
      <c r="BC33" s="192"/>
      <c r="BD33" s="193"/>
      <c r="BE33" s="198"/>
      <c r="BF33" s="195"/>
      <c r="BG33" s="192"/>
      <c r="BH33" s="192"/>
      <c r="BI33" s="192"/>
      <c r="BJ33" s="192"/>
      <c r="BK33" s="192"/>
      <c r="BL33" s="193"/>
      <c r="BM33" s="194"/>
      <c r="BN33" s="195"/>
      <c r="BO33" s="192"/>
      <c r="BP33" s="192"/>
      <c r="BQ33" s="192"/>
      <c r="BR33" s="192"/>
      <c r="BS33" s="192"/>
      <c r="BU33" s="194"/>
      <c r="BV33" s="192"/>
      <c r="BW33" s="192"/>
      <c r="BX33" s="192"/>
      <c r="BY33" s="192"/>
      <c r="BZ33" s="192"/>
      <c r="CA33" s="192"/>
      <c r="CB33" s="192"/>
      <c r="CC33" s="192"/>
      <c r="CD33" s="192"/>
      <c r="CE33" s="192"/>
      <c r="CF33" s="192"/>
      <c r="CG33" s="192"/>
      <c r="CH33" s="192"/>
      <c r="CI33" s="192"/>
      <c r="CJ33" s="192"/>
      <c r="CK33" s="192"/>
      <c r="CL33" s="192"/>
      <c r="CM33" s="192"/>
      <c r="CN33" s="192"/>
      <c r="CO33" s="192"/>
      <c r="CP33" s="192"/>
      <c r="CQ33" s="192"/>
      <c r="CR33" s="192"/>
      <c r="CS33" s="192"/>
      <c r="CT33" s="192"/>
      <c r="CU33" s="192"/>
      <c r="CV33" s="192"/>
      <c r="CW33" s="192"/>
      <c r="CX33" s="192"/>
      <c r="CY33" s="192"/>
      <c r="CZ33" s="192"/>
      <c r="DA33" s="192"/>
      <c r="DB33" s="192"/>
      <c r="DC33" s="192"/>
      <c r="DD33" s="192"/>
      <c r="DE33" s="192"/>
      <c r="DF33" s="192"/>
      <c r="DG33" s="192"/>
      <c r="DH33" s="192"/>
      <c r="DI33" s="192"/>
      <c r="DJ33" s="192"/>
      <c r="DK33" s="192"/>
      <c r="DL33" s="192"/>
      <c r="DM33" s="192"/>
      <c r="DN33" s="192"/>
      <c r="DO33" s="192"/>
      <c r="DP33" s="192"/>
      <c r="DQ33" s="192"/>
      <c r="DR33" s="192"/>
      <c r="DS33" s="192"/>
      <c r="DT33" s="192"/>
      <c r="DU33" s="192"/>
      <c r="DV33" s="192"/>
      <c r="DW33" s="192"/>
      <c r="DX33" s="192"/>
      <c r="DY33" s="192"/>
      <c r="DZ33" s="192"/>
      <c r="EA33" s="192"/>
      <c r="EB33" s="192"/>
      <c r="EC33" s="192"/>
      <c r="ED33" s="192"/>
      <c r="EE33" s="192"/>
    </row>
    <row r="34" spans="2:135">
      <c r="B34" s="192"/>
      <c r="C34" s="192"/>
      <c r="D34" s="192"/>
      <c r="E34" s="192"/>
      <c r="F34" s="192"/>
      <c r="G34" s="192"/>
      <c r="H34" s="193"/>
      <c r="I34" s="194"/>
      <c r="J34" s="195"/>
      <c r="K34" s="192"/>
      <c r="L34" s="192"/>
      <c r="M34" s="192"/>
      <c r="N34" s="192"/>
      <c r="O34" s="192"/>
      <c r="P34" s="193"/>
      <c r="Q34" s="194"/>
      <c r="R34" s="195"/>
      <c r="S34" s="192"/>
      <c r="T34" s="192"/>
      <c r="U34" s="192"/>
      <c r="V34" s="192"/>
      <c r="W34" s="192"/>
      <c r="X34" s="193"/>
      <c r="Y34" s="198"/>
      <c r="Z34" s="195"/>
      <c r="AA34" s="195"/>
      <c r="AB34" s="195"/>
      <c r="AC34" s="195"/>
      <c r="AD34" s="195"/>
      <c r="AE34" s="195"/>
      <c r="AF34" s="193"/>
      <c r="AG34" s="198"/>
      <c r="AH34" s="195"/>
      <c r="AI34" s="192"/>
      <c r="AJ34" s="192"/>
      <c r="AK34" s="192"/>
      <c r="AL34" s="192"/>
      <c r="AM34" s="192"/>
      <c r="AN34" s="193"/>
      <c r="AO34" s="198"/>
      <c r="AP34" s="195"/>
      <c r="AQ34" s="192"/>
      <c r="AR34" s="192"/>
      <c r="AS34" s="192"/>
      <c r="AT34" s="192"/>
      <c r="AU34" s="192"/>
      <c r="AV34" s="193"/>
      <c r="AW34" s="198"/>
      <c r="AX34" s="195"/>
      <c r="AY34" s="192"/>
      <c r="AZ34" s="192"/>
      <c r="BA34" s="192"/>
      <c r="BB34" s="192"/>
      <c r="BC34" s="192"/>
      <c r="BD34" s="193"/>
      <c r="BE34" s="198"/>
      <c r="BF34" s="195"/>
      <c r="BG34" s="192"/>
      <c r="BH34" s="192"/>
      <c r="BI34" s="192"/>
      <c r="BJ34" s="192"/>
      <c r="BK34" s="192"/>
      <c r="BL34" s="193"/>
      <c r="BM34" s="194"/>
      <c r="BN34" s="195"/>
      <c r="BO34" s="192"/>
      <c r="BP34" s="192"/>
      <c r="BQ34" s="192"/>
      <c r="BR34" s="192"/>
      <c r="BS34" s="192"/>
      <c r="BU34" s="194"/>
      <c r="BV34" s="192"/>
      <c r="BW34" s="192"/>
      <c r="BX34" s="192"/>
      <c r="BY34" s="192"/>
      <c r="BZ34" s="192"/>
      <c r="CA34" s="192"/>
      <c r="CB34" s="192"/>
      <c r="CC34" s="192"/>
      <c r="CD34" s="192"/>
      <c r="CE34" s="192"/>
      <c r="CF34" s="192"/>
      <c r="CG34" s="192"/>
      <c r="CH34" s="192"/>
      <c r="CI34" s="192"/>
      <c r="CJ34" s="192"/>
      <c r="CK34" s="192"/>
      <c r="CL34" s="192"/>
      <c r="CM34" s="192"/>
      <c r="CN34" s="192"/>
      <c r="CO34" s="192"/>
      <c r="CP34" s="192"/>
      <c r="CQ34" s="192"/>
      <c r="CR34" s="192"/>
      <c r="CS34" s="192"/>
      <c r="CT34" s="192"/>
      <c r="CU34" s="192"/>
      <c r="CV34" s="192"/>
      <c r="CW34" s="192"/>
      <c r="CX34" s="192"/>
      <c r="CY34" s="192"/>
      <c r="CZ34" s="192"/>
      <c r="DA34" s="192"/>
      <c r="DB34" s="192"/>
      <c r="DC34" s="192"/>
      <c r="DD34" s="192"/>
      <c r="DE34" s="192"/>
      <c r="DF34" s="192"/>
      <c r="DG34" s="192"/>
      <c r="DH34" s="192"/>
      <c r="DI34" s="192"/>
      <c r="DJ34" s="192"/>
      <c r="DK34" s="192"/>
      <c r="DL34" s="192"/>
      <c r="DM34" s="192"/>
      <c r="DN34" s="192"/>
      <c r="DO34" s="192"/>
      <c r="DP34" s="192"/>
      <c r="DQ34" s="192"/>
      <c r="DR34" s="192"/>
      <c r="DS34" s="192"/>
      <c r="DT34" s="192"/>
      <c r="DU34" s="192"/>
      <c r="DV34" s="192"/>
      <c r="DW34" s="192"/>
      <c r="DX34" s="192"/>
      <c r="DY34" s="192"/>
      <c r="DZ34" s="192"/>
      <c r="EA34" s="192"/>
      <c r="EB34" s="192"/>
      <c r="EC34" s="192"/>
      <c r="ED34" s="192"/>
      <c r="EE34" s="192"/>
    </row>
    <row r="35" spans="2:135">
      <c r="B35" s="192"/>
      <c r="C35" s="192"/>
      <c r="D35" s="192"/>
      <c r="E35" s="192"/>
      <c r="F35" s="192"/>
      <c r="G35" s="192"/>
      <c r="H35" s="193"/>
      <c r="I35" s="194"/>
      <c r="J35" s="195"/>
      <c r="K35" s="192"/>
      <c r="L35" s="192"/>
      <c r="M35" s="192"/>
      <c r="N35" s="192"/>
      <c r="O35" s="192"/>
      <c r="P35" s="193"/>
      <c r="Q35" s="194"/>
      <c r="R35" s="195"/>
      <c r="S35" s="192"/>
      <c r="T35" s="192"/>
      <c r="U35" s="192"/>
      <c r="V35" s="192"/>
      <c r="W35" s="192"/>
      <c r="X35" s="193"/>
      <c r="Y35" s="198"/>
      <c r="Z35" s="195"/>
      <c r="AA35" s="195"/>
      <c r="AB35" s="195"/>
      <c r="AC35" s="195"/>
      <c r="AD35" s="195"/>
      <c r="AE35" s="195"/>
      <c r="AF35" s="193"/>
      <c r="AG35" s="198"/>
      <c r="AH35" s="195"/>
      <c r="AI35" s="192"/>
      <c r="AJ35" s="192"/>
      <c r="AK35" s="192"/>
      <c r="AL35" s="192"/>
      <c r="AM35" s="192"/>
      <c r="AN35" s="193"/>
      <c r="AO35" s="198"/>
      <c r="AP35" s="195"/>
      <c r="AQ35" s="192"/>
      <c r="AR35" s="192"/>
      <c r="AS35" s="192"/>
      <c r="AT35" s="192"/>
      <c r="AU35" s="192"/>
      <c r="AV35" s="193"/>
      <c r="AW35" s="198"/>
      <c r="AX35" s="195"/>
      <c r="AY35" s="192"/>
      <c r="AZ35" s="192"/>
      <c r="BA35" s="192"/>
      <c r="BB35" s="192"/>
      <c r="BC35" s="192"/>
      <c r="BD35" s="193"/>
      <c r="BE35" s="198"/>
      <c r="BF35" s="195"/>
      <c r="BG35" s="192"/>
      <c r="BH35" s="192"/>
      <c r="BI35" s="192"/>
      <c r="BJ35" s="192"/>
      <c r="BK35" s="192"/>
      <c r="BL35" s="193"/>
      <c r="BM35" s="194"/>
      <c r="BN35" s="195"/>
      <c r="BO35" s="192"/>
      <c r="BP35" s="192"/>
      <c r="BQ35" s="192"/>
      <c r="BR35" s="192"/>
      <c r="BS35" s="192"/>
      <c r="BU35" s="194"/>
      <c r="BV35" s="192"/>
      <c r="BW35" s="192"/>
      <c r="BX35" s="192"/>
      <c r="BY35" s="192"/>
      <c r="BZ35" s="192"/>
      <c r="CA35" s="192"/>
      <c r="CB35" s="192"/>
      <c r="CC35" s="192"/>
      <c r="CD35" s="192"/>
      <c r="CE35" s="192"/>
      <c r="CF35" s="192"/>
      <c r="CG35" s="192"/>
      <c r="CH35" s="192"/>
      <c r="CI35" s="192"/>
      <c r="CJ35" s="192"/>
      <c r="CK35" s="192"/>
      <c r="CL35" s="192"/>
      <c r="CM35" s="192"/>
      <c r="CN35" s="192"/>
      <c r="CO35" s="192"/>
      <c r="CP35" s="192"/>
      <c r="CQ35" s="192"/>
      <c r="CR35" s="192"/>
      <c r="CS35" s="192"/>
      <c r="CT35" s="192"/>
      <c r="CU35" s="192"/>
      <c r="CV35" s="192"/>
      <c r="CW35" s="192"/>
      <c r="CX35" s="192"/>
      <c r="CY35" s="192"/>
      <c r="CZ35" s="192"/>
      <c r="DA35" s="192"/>
      <c r="DB35" s="192"/>
      <c r="DC35" s="192"/>
      <c r="DD35" s="192"/>
      <c r="DE35" s="192"/>
      <c r="DF35" s="192"/>
      <c r="DG35" s="192"/>
      <c r="DH35" s="192"/>
      <c r="DI35" s="192"/>
      <c r="DJ35" s="192"/>
      <c r="DK35" s="192"/>
      <c r="DL35" s="192"/>
      <c r="DM35" s="192"/>
      <c r="DN35" s="192"/>
      <c r="DO35" s="192"/>
      <c r="DP35" s="192"/>
      <c r="DQ35" s="192"/>
      <c r="DR35" s="192"/>
      <c r="DS35" s="192"/>
      <c r="DT35" s="192"/>
      <c r="DU35" s="192"/>
      <c r="DV35" s="192"/>
      <c r="DW35" s="192"/>
      <c r="DX35" s="192"/>
      <c r="DY35" s="192"/>
      <c r="DZ35" s="192"/>
      <c r="EA35" s="192"/>
      <c r="EB35" s="192"/>
      <c r="EC35" s="192"/>
      <c r="ED35" s="192"/>
      <c r="EE35" s="192"/>
    </row>
    <row r="36" spans="2:135">
      <c r="B36" s="192"/>
      <c r="C36" s="192"/>
      <c r="D36" s="192"/>
      <c r="E36" s="192"/>
      <c r="F36" s="192"/>
      <c r="G36" s="192"/>
      <c r="H36" s="193"/>
      <c r="I36" s="194"/>
      <c r="J36" s="195"/>
      <c r="K36" s="192"/>
      <c r="L36" s="192"/>
      <c r="M36" s="192"/>
      <c r="N36" s="192"/>
      <c r="O36" s="192"/>
      <c r="P36" s="193"/>
      <c r="Q36" s="194"/>
      <c r="R36" s="195"/>
      <c r="S36" s="192"/>
      <c r="T36" s="192"/>
      <c r="U36" s="192"/>
      <c r="V36" s="192"/>
      <c r="W36" s="192"/>
      <c r="X36" s="193"/>
      <c r="Y36" s="198"/>
      <c r="Z36" s="195"/>
      <c r="AA36" s="195"/>
      <c r="AB36" s="195"/>
      <c r="AC36" s="195"/>
      <c r="AD36" s="195"/>
      <c r="AE36" s="195"/>
      <c r="AF36" s="193"/>
      <c r="AG36" s="198"/>
      <c r="AH36" s="195"/>
      <c r="AI36" s="192"/>
      <c r="AJ36" s="192"/>
      <c r="AK36" s="192"/>
      <c r="AL36" s="192"/>
      <c r="AM36" s="192"/>
      <c r="AN36" s="193"/>
      <c r="AO36" s="198"/>
      <c r="AP36" s="195"/>
      <c r="AQ36" s="192"/>
      <c r="AR36" s="192"/>
      <c r="AS36" s="192"/>
      <c r="AT36" s="192"/>
      <c r="AU36" s="192"/>
      <c r="AV36" s="193"/>
      <c r="AW36" s="198"/>
      <c r="AX36" s="195"/>
      <c r="AY36" s="192"/>
      <c r="AZ36" s="192"/>
      <c r="BA36" s="192"/>
      <c r="BB36" s="192"/>
      <c r="BC36" s="192"/>
      <c r="BD36" s="193"/>
      <c r="BE36" s="198"/>
      <c r="BF36" s="195"/>
      <c r="BG36" s="192"/>
      <c r="BH36" s="192"/>
      <c r="BI36" s="192"/>
      <c r="BJ36" s="192"/>
      <c r="BK36" s="192"/>
      <c r="BL36" s="193"/>
      <c r="BM36" s="194"/>
      <c r="BN36" s="195"/>
      <c r="BO36" s="192"/>
      <c r="BP36" s="192"/>
      <c r="BQ36" s="192"/>
      <c r="BR36" s="192"/>
      <c r="BS36" s="192"/>
      <c r="BU36" s="194"/>
      <c r="BV36" s="192"/>
      <c r="BW36" s="192"/>
      <c r="BX36" s="192"/>
      <c r="BY36" s="192"/>
      <c r="BZ36" s="192"/>
      <c r="CA36" s="192"/>
      <c r="CB36" s="192"/>
      <c r="CC36" s="192"/>
      <c r="CD36" s="192"/>
      <c r="CE36" s="192"/>
      <c r="CF36" s="192"/>
      <c r="CG36" s="192"/>
      <c r="CH36" s="192"/>
      <c r="CI36" s="192"/>
      <c r="CJ36" s="192"/>
      <c r="CK36" s="192"/>
      <c r="CL36" s="192"/>
      <c r="CM36" s="192"/>
      <c r="CN36" s="192"/>
      <c r="CO36" s="192"/>
      <c r="CP36" s="192"/>
      <c r="CQ36" s="192"/>
      <c r="CR36" s="192"/>
      <c r="CS36" s="192"/>
      <c r="CT36" s="192"/>
      <c r="CU36" s="192"/>
      <c r="CV36" s="192"/>
      <c r="CW36" s="192"/>
      <c r="CX36" s="192"/>
      <c r="CY36" s="192"/>
      <c r="CZ36" s="192"/>
      <c r="DA36" s="192"/>
      <c r="DB36" s="192"/>
      <c r="DC36" s="192"/>
      <c r="DD36" s="192"/>
      <c r="DE36" s="192"/>
      <c r="DF36" s="192"/>
      <c r="DG36" s="192"/>
      <c r="DH36" s="192"/>
      <c r="DI36" s="192"/>
      <c r="DJ36" s="192"/>
      <c r="DK36" s="192"/>
      <c r="DL36" s="192"/>
      <c r="DM36" s="192"/>
      <c r="DN36" s="192"/>
      <c r="DO36" s="192"/>
      <c r="DP36" s="192"/>
      <c r="DQ36" s="192"/>
      <c r="DR36" s="192"/>
      <c r="DS36" s="192"/>
      <c r="DT36" s="192"/>
      <c r="DU36" s="192"/>
      <c r="DV36" s="192"/>
      <c r="DW36" s="192"/>
      <c r="DX36" s="192"/>
      <c r="DY36" s="192"/>
      <c r="DZ36" s="192"/>
      <c r="EA36" s="192"/>
      <c r="EB36" s="192"/>
      <c r="EC36" s="192"/>
      <c r="ED36" s="192"/>
      <c r="EE36" s="192"/>
    </row>
    <row r="37" spans="2:135">
      <c r="B37" s="192"/>
      <c r="C37" s="192"/>
      <c r="D37" s="192"/>
      <c r="E37" s="192"/>
      <c r="F37" s="192"/>
      <c r="G37" s="192"/>
      <c r="H37" s="193"/>
      <c r="I37" s="194"/>
      <c r="J37" s="195"/>
      <c r="K37" s="192"/>
      <c r="L37" s="192"/>
      <c r="M37" s="192"/>
      <c r="N37" s="192"/>
      <c r="O37" s="192"/>
      <c r="P37" s="193"/>
      <c r="Q37" s="194"/>
      <c r="R37" s="195"/>
      <c r="S37" s="192"/>
      <c r="T37" s="192"/>
      <c r="U37" s="192"/>
      <c r="V37" s="192"/>
      <c r="W37" s="192"/>
      <c r="X37" s="193"/>
      <c r="Y37" s="198"/>
      <c r="Z37" s="195"/>
      <c r="AA37" s="195"/>
      <c r="AB37" s="195"/>
      <c r="AC37" s="195"/>
      <c r="AD37" s="195"/>
      <c r="AE37" s="195"/>
      <c r="AF37" s="193"/>
      <c r="AG37" s="198"/>
      <c r="AH37" s="195"/>
      <c r="AI37" s="192"/>
      <c r="AJ37" s="192"/>
      <c r="AK37" s="192"/>
      <c r="AL37" s="192"/>
      <c r="AM37" s="192"/>
      <c r="AN37" s="193"/>
      <c r="AO37" s="198"/>
      <c r="AP37" s="195"/>
      <c r="AQ37" s="192"/>
      <c r="AR37" s="192"/>
      <c r="AS37" s="192"/>
      <c r="AT37" s="192"/>
      <c r="AU37" s="192"/>
      <c r="AV37" s="193"/>
      <c r="AW37" s="198"/>
      <c r="AX37" s="195"/>
      <c r="AY37" s="192"/>
      <c r="AZ37" s="192"/>
      <c r="BA37" s="192"/>
      <c r="BB37" s="192"/>
      <c r="BC37" s="192"/>
      <c r="BD37" s="193"/>
      <c r="BE37" s="198"/>
      <c r="BF37" s="195"/>
      <c r="BG37" s="192"/>
      <c r="BH37" s="192"/>
      <c r="BI37" s="192"/>
      <c r="BJ37" s="192"/>
      <c r="BK37" s="192"/>
      <c r="BL37" s="193"/>
      <c r="BM37" s="194"/>
      <c r="BN37" s="195"/>
      <c r="BO37" s="192"/>
      <c r="BP37" s="192"/>
      <c r="BQ37" s="192"/>
      <c r="BR37" s="192"/>
      <c r="BS37" s="192"/>
      <c r="BU37" s="194"/>
      <c r="BV37" s="192"/>
      <c r="BW37" s="192"/>
      <c r="BX37" s="192"/>
      <c r="BY37" s="192"/>
      <c r="BZ37" s="192"/>
      <c r="CA37" s="192"/>
      <c r="CB37" s="192"/>
      <c r="CC37" s="192"/>
      <c r="CD37" s="192"/>
      <c r="CE37" s="192"/>
      <c r="CF37" s="192"/>
      <c r="CG37" s="192"/>
      <c r="CH37" s="192"/>
      <c r="CI37" s="192"/>
      <c r="CJ37" s="192"/>
      <c r="CK37" s="192"/>
      <c r="CL37" s="192"/>
      <c r="CM37" s="192"/>
      <c r="CN37" s="192"/>
      <c r="CO37" s="192"/>
      <c r="CP37" s="192"/>
      <c r="CQ37" s="192"/>
      <c r="CR37" s="192"/>
      <c r="CS37" s="192"/>
      <c r="CT37" s="192"/>
      <c r="CU37" s="192"/>
      <c r="CV37" s="192"/>
      <c r="CW37" s="192"/>
      <c r="CX37" s="192"/>
      <c r="CY37" s="192"/>
      <c r="CZ37" s="192"/>
      <c r="DA37" s="192"/>
      <c r="DB37" s="192"/>
      <c r="DC37" s="192"/>
      <c r="DD37" s="192"/>
      <c r="DE37" s="192"/>
      <c r="DF37" s="192"/>
      <c r="DG37" s="192"/>
      <c r="DH37" s="192"/>
      <c r="DI37" s="192"/>
      <c r="DJ37" s="192"/>
      <c r="DK37" s="192"/>
      <c r="DL37" s="192"/>
      <c r="DM37" s="192"/>
      <c r="DN37" s="192"/>
      <c r="DO37" s="192"/>
      <c r="DP37" s="192"/>
      <c r="DQ37" s="192"/>
      <c r="DR37" s="192"/>
      <c r="DS37" s="192"/>
      <c r="DT37" s="192"/>
      <c r="DU37" s="192"/>
      <c r="DV37" s="192"/>
      <c r="DW37" s="192"/>
      <c r="DX37" s="192"/>
      <c r="DY37" s="192"/>
      <c r="DZ37" s="192"/>
      <c r="EA37" s="192"/>
      <c r="EB37" s="192"/>
      <c r="EC37" s="192"/>
      <c r="ED37" s="192"/>
      <c r="EE37" s="192"/>
    </row>
    <row r="38" spans="2:135">
      <c r="B38" s="192"/>
      <c r="C38" s="192"/>
      <c r="D38" s="192"/>
      <c r="E38" s="192"/>
      <c r="F38" s="192"/>
      <c r="G38" s="192"/>
      <c r="H38" s="193"/>
      <c r="I38" s="194"/>
      <c r="J38" s="195"/>
      <c r="K38" s="192"/>
      <c r="L38" s="192"/>
      <c r="M38" s="192"/>
      <c r="N38" s="192"/>
      <c r="O38" s="192"/>
      <c r="P38" s="193"/>
      <c r="Q38" s="194"/>
      <c r="R38" s="195"/>
      <c r="S38" s="192"/>
      <c r="T38" s="192"/>
      <c r="U38" s="192"/>
      <c r="V38" s="192"/>
      <c r="W38" s="192"/>
      <c r="X38" s="193"/>
      <c r="Y38" s="198"/>
      <c r="Z38" s="195"/>
      <c r="AA38" s="195"/>
      <c r="AB38" s="195"/>
      <c r="AC38" s="195"/>
      <c r="AD38" s="195"/>
      <c r="AE38" s="195"/>
      <c r="AF38" s="193"/>
      <c r="AG38" s="198"/>
      <c r="AH38" s="195"/>
      <c r="AI38" s="192"/>
      <c r="AJ38" s="192"/>
      <c r="AK38" s="192"/>
      <c r="AL38" s="192"/>
      <c r="AM38" s="192"/>
      <c r="AN38" s="193"/>
      <c r="AO38" s="198"/>
      <c r="AP38" s="195"/>
      <c r="AQ38" s="192"/>
      <c r="AR38" s="192"/>
      <c r="AS38" s="192"/>
      <c r="AT38" s="192"/>
      <c r="AU38" s="192"/>
      <c r="AV38" s="193"/>
      <c r="AW38" s="198"/>
      <c r="AX38" s="195"/>
      <c r="AY38" s="192"/>
      <c r="AZ38" s="192"/>
      <c r="BA38" s="192"/>
      <c r="BB38" s="192"/>
      <c r="BC38" s="192"/>
      <c r="BD38" s="193"/>
      <c r="BE38" s="198"/>
      <c r="BF38" s="195"/>
      <c r="BG38" s="192"/>
      <c r="BH38" s="192"/>
      <c r="BI38" s="192"/>
      <c r="BJ38" s="192"/>
      <c r="BK38" s="192"/>
      <c r="BL38" s="193"/>
      <c r="BM38" s="194"/>
      <c r="BN38" s="195"/>
      <c r="BO38" s="192"/>
      <c r="BP38" s="192"/>
      <c r="BQ38" s="192"/>
      <c r="BR38" s="192"/>
      <c r="BS38" s="192"/>
      <c r="BU38" s="194"/>
      <c r="BV38" s="192"/>
      <c r="BW38" s="192"/>
      <c r="BX38" s="192"/>
      <c r="BY38" s="192"/>
      <c r="BZ38" s="192"/>
      <c r="CA38" s="192"/>
      <c r="CB38" s="192"/>
      <c r="CC38" s="192"/>
      <c r="CD38" s="192"/>
      <c r="CE38" s="192"/>
      <c r="CF38" s="192"/>
      <c r="CG38" s="192"/>
      <c r="CH38" s="192"/>
      <c r="CI38" s="192"/>
      <c r="CJ38" s="192"/>
      <c r="CK38" s="192"/>
      <c r="CL38" s="192"/>
      <c r="CM38" s="192"/>
      <c r="CN38" s="192"/>
      <c r="CO38" s="192"/>
      <c r="CP38" s="192"/>
      <c r="CQ38" s="192"/>
      <c r="CR38" s="192"/>
      <c r="CS38" s="192"/>
      <c r="CT38" s="192"/>
      <c r="CU38" s="192"/>
      <c r="CV38" s="192"/>
      <c r="CW38" s="192"/>
      <c r="CX38" s="192"/>
      <c r="CY38" s="192"/>
      <c r="CZ38" s="192"/>
      <c r="DA38" s="192"/>
      <c r="DB38" s="192"/>
      <c r="DC38" s="192"/>
      <c r="DD38" s="192"/>
      <c r="DE38" s="192"/>
      <c r="DF38" s="192"/>
      <c r="DG38" s="192"/>
      <c r="DH38" s="192"/>
      <c r="DI38" s="192"/>
      <c r="DJ38" s="192"/>
      <c r="DK38" s="192"/>
      <c r="DL38" s="192"/>
      <c r="DM38" s="192"/>
      <c r="DN38" s="192"/>
      <c r="DO38" s="192"/>
      <c r="DP38" s="192"/>
      <c r="DQ38" s="192"/>
      <c r="DR38" s="192"/>
      <c r="DS38" s="192"/>
      <c r="DT38" s="192"/>
      <c r="DU38" s="192"/>
      <c r="DV38" s="192"/>
      <c r="DW38" s="192"/>
      <c r="DX38" s="192"/>
      <c r="DY38" s="192"/>
      <c r="DZ38" s="192"/>
      <c r="EA38" s="192"/>
      <c r="EB38" s="192"/>
      <c r="EC38" s="192"/>
      <c r="ED38" s="192"/>
      <c r="EE38" s="192"/>
    </row>
    <row r="39" spans="2:135">
      <c r="B39" s="192"/>
      <c r="C39" s="192"/>
      <c r="D39" s="192"/>
      <c r="E39" s="192"/>
      <c r="F39" s="192"/>
      <c r="G39" s="192"/>
      <c r="H39" s="193"/>
      <c r="I39" s="194"/>
      <c r="J39" s="195"/>
      <c r="K39" s="192"/>
      <c r="L39" s="192"/>
      <c r="M39" s="192"/>
      <c r="N39" s="192"/>
      <c r="O39" s="192"/>
      <c r="P39" s="193"/>
      <c r="Q39" s="194"/>
      <c r="R39" s="195"/>
      <c r="S39" s="192"/>
      <c r="T39" s="192"/>
      <c r="U39" s="192"/>
      <c r="V39" s="192"/>
      <c r="W39" s="192"/>
      <c r="X39" s="193"/>
      <c r="Y39" s="198"/>
      <c r="Z39" s="195"/>
      <c r="AA39" s="195"/>
      <c r="AB39" s="195"/>
      <c r="AC39" s="195"/>
      <c r="AD39" s="195"/>
      <c r="AE39" s="195"/>
      <c r="AF39" s="193"/>
      <c r="AG39" s="198"/>
      <c r="AH39" s="195"/>
      <c r="AI39" s="192"/>
      <c r="AJ39" s="192"/>
      <c r="AK39" s="192"/>
      <c r="AL39" s="192"/>
      <c r="AM39" s="192"/>
      <c r="AN39" s="193"/>
      <c r="AO39" s="198"/>
      <c r="AP39" s="195"/>
      <c r="AQ39" s="192"/>
      <c r="AR39" s="192"/>
      <c r="AS39" s="192"/>
      <c r="AT39" s="192"/>
      <c r="AU39" s="192"/>
      <c r="AV39" s="193"/>
      <c r="AW39" s="198"/>
      <c r="AX39" s="195"/>
      <c r="AY39" s="192"/>
      <c r="AZ39" s="192"/>
      <c r="BA39" s="192"/>
      <c r="BB39" s="192"/>
      <c r="BC39" s="192"/>
      <c r="BD39" s="193"/>
      <c r="BE39" s="198"/>
      <c r="BF39" s="195"/>
      <c r="BG39" s="192"/>
      <c r="BH39" s="192"/>
      <c r="BI39" s="192"/>
      <c r="BJ39" s="192"/>
      <c r="BK39" s="192"/>
      <c r="BL39" s="193"/>
      <c r="BM39" s="194"/>
      <c r="BN39" s="195"/>
      <c r="BO39" s="192"/>
      <c r="BP39" s="192"/>
      <c r="BQ39" s="192"/>
      <c r="BR39" s="192"/>
      <c r="BS39" s="192"/>
      <c r="BU39" s="194"/>
      <c r="BV39" s="192"/>
      <c r="BW39" s="192"/>
      <c r="BX39" s="192"/>
      <c r="BY39" s="192"/>
      <c r="BZ39" s="192"/>
      <c r="CA39" s="192"/>
      <c r="CB39" s="192"/>
      <c r="CC39" s="192"/>
      <c r="CD39" s="192"/>
      <c r="CE39" s="192"/>
      <c r="CF39" s="192"/>
      <c r="CG39" s="192"/>
      <c r="CH39" s="192"/>
      <c r="CI39" s="192"/>
      <c r="CJ39" s="192"/>
      <c r="CK39" s="192"/>
      <c r="CL39" s="192"/>
      <c r="CM39" s="192"/>
      <c r="CN39" s="192"/>
      <c r="CO39" s="192"/>
      <c r="CP39" s="192"/>
      <c r="CQ39" s="192"/>
      <c r="CR39" s="192"/>
      <c r="CS39" s="192"/>
      <c r="CT39" s="192"/>
      <c r="CU39" s="192"/>
      <c r="CV39" s="192"/>
      <c r="CW39" s="192"/>
      <c r="CX39" s="192"/>
      <c r="CY39" s="192"/>
      <c r="CZ39" s="192"/>
      <c r="DA39" s="192"/>
      <c r="DB39" s="192"/>
      <c r="DC39" s="192"/>
      <c r="DD39" s="192"/>
      <c r="DE39" s="192"/>
      <c r="DF39" s="192"/>
      <c r="DG39" s="192"/>
      <c r="DH39" s="192"/>
      <c r="DI39" s="192"/>
      <c r="DJ39" s="192"/>
      <c r="DK39" s="192"/>
      <c r="DL39" s="192"/>
      <c r="DM39" s="192"/>
      <c r="DN39" s="192"/>
      <c r="DO39" s="192"/>
      <c r="DP39" s="192"/>
      <c r="DQ39" s="192"/>
      <c r="DR39" s="192"/>
      <c r="DS39" s="192"/>
      <c r="DT39" s="192"/>
      <c r="DU39" s="192"/>
      <c r="DV39" s="192"/>
      <c r="DW39" s="192"/>
      <c r="DX39" s="192"/>
      <c r="DY39" s="192"/>
      <c r="DZ39" s="192"/>
      <c r="EA39" s="192"/>
      <c r="EB39" s="192"/>
      <c r="EC39" s="192"/>
      <c r="ED39" s="192"/>
      <c r="EE39" s="192"/>
    </row>
    <row r="40" spans="2:135">
      <c r="B40" s="192"/>
      <c r="C40" s="192"/>
      <c r="D40" s="192"/>
      <c r="E40" s="192"/>
      <c r="F40" s="192"/>
      <c r="G40" s="192"/>
      <c r="H40" s="193"/>
      <c r="I40" s="194"/>
      <c r="J40" s="195"/>
      <c r="K40" s="192"/>
      <c r="L40" s="192"/>
      <c r="M40" s="192"/>
      <c r="N40" s="192"/>
      <c r="O40" s="192"/>
      <c r="P40" s="193"/>
      <c r="Q40" s="194"/>
      <c r="R40" s="195"/>
      <c r="S40" s="192"/>
      <c r="T40" s="192"/>
      <c r="U40" s="192"/>
      <c r="V40" s="192"/>
      <c r="W40" s="192"/>
      <c r="X40" s="193"/>
      <c r="Y40" s="198"/>
      <c r="Z40" s="195"/>
      <c r="AA40" s="195"/>
      <c r="AB40" s="195"/>
      <c r="AC40" s="195"/>
      <c r="AD40" s="195"/>
      <c r="AE40" s="195"/>
      <c r="AF40" s="193"/>
      <c r="AG40" s="198"/>
      <c r="AH40" s="195"/>
      <c r="AI40" s="192"/>
      <c r="AJ40" s="192"/>
      <c r="AK40" s="192"/>
      <c r="AL40" s="192"/>
      <c r="AM40" s="192"/>
      <c r="AN40" s="193"/>
      <c r="AO40" s="198"/>
      <c r="AP40" s="195"/>
      <c r="AQ40" s="192"/>
      <c r="AR40" s="192"/>
      <c r="AS40" s="192"/>
      <c r="AT40" s="192"/>
      <c r="AU40" s="192"/>
      <c r="AV40" s="193"/>
      <c r="AW40" s="198"/>
      <c r="AX40" s="195"/>
      <c r="AY40" s="192"/>
      <c r="AZ40" s="192"/>
      <c r="BA40" s="192"/>
      <c r="BB40" s="192"/>
      <c r="BC40" s="192"/>
      <c r="BD40" s="193"/>
      <c r="BE40" s="198"/>
      <c r="BF40" s="195"/>
      <c r="BG40" s="192"/>
      <c r="BH40" s="192"/>
      <c r="BI40" s="192"/>
      <c r="BJ40" s="192"/>
      <c r="BK40" s="192"/>
      <c r="BL40" s="193"/>
      <c r="BM40" s="194"/>
      <c r="BN40" s="195"/>
      <c r="BO40" s="192"/>
      <c r="BP40" s="192"/>
      <c r="BQ40" s="192"/>
      <c r="BR40" s="192"/>
      <c r="BS40" s="192"/>
      <c r="BU40" s="194"/>
      <c r="BV40" s="192"/>
      <c r="BW40" s="192"/>
      <c r="BX40" s="192"/>
      <c r="BY40" s="192"/>
      <c r="BZ40" s="192"/>
      <c r="CA40" s="192"/>
      <c r="CB40" s="192"/>
      <c r="CC40" s="192"/>
      <c r="CD40" s="192"/>
      <c r="CE40" s="192"/>
      <c r="CF40" s="192"/>
      <c r="CG40" s="192"/>
      <c r="CH40" s="192"/>
      <c r="CI40" s="192"/>
      <c r="CJ40" s="192"/>
      <c r="CK40" s="192"/>
      <c r="CL40" s="192"/>
      <c r="CM40" s="192"/>
      <c r="CN40" s="192"/>
      <c r="CO40" s="192"/>
      <c r="CP40" s="192"/>
      <c r="CQ40" s="192"/>
      <c r="CR40" s="192"/>
      <c r="CS40" s="192"/>
      <c r="CT40" s="192"/>
      <c r="CU40" s="192"/>
      <c r="CV40" s="192"/>
      <c r="CW40" s="192"/>
      <c r="CX40" s="192"/>
      <c r="CY40" s="192"/>
      <c r="CZ40" s="192"/>
      <c r="DA40" s="192"/>
      <c r="DB40" s="192"/>
      <c r="DC40" s="192"/>
      <c r="DD40" s="192"/>
      <c r="DE40" s="192"/>
      <c r="DF40" s="192"/>
      <c r="DG40" s="192"/>
      <c r="DH40" s="192"/>
      <c r="DI40" s="192"/>
      <c r="DJ40" s="192"/>
      <c r="DK40" s="192"/>
      <c r="DL40" s="192"/>
      <c r="DM40" s="192"/>
      <c r="DN40" s="192"/>
      <c r="DO40" s="192"/>
      <c r="DP40" s="192"/>
      <c r="DQ40" s="192"/>
      <c r="DR40" s="192"/>
      <c r="DS40" s="192"/>
      <c r="DT40" s="192"/>
      <c r="DU40" s="192"/>
      <c r="DV40" s="192"/>
      <c r="DW40" s="192"/>
      <c r="DX40" s="192"/>
      <c r="DY40" s="192"/>
      <c r="DZ40" s="192"/>
      <c r="EA40" s="192"/>
      <c r="EB40" s="192"/>
      <c r="EC40" s="192"/>
      <c r="ED40" s="192"/>
      <c r="EE40" s="192"/>
    </row>
    <row r="41" spans="2:135">
      <c r="B41" s="192"/>
      <c r="C41" s="192"/>
      <c r="D41" s="192"/>
      <c r="E41" s="192"/>
      <c r="F41" s="192"/>
      <c r="G41" s="192"/>
      <c r="H41" s="193"/>
      <c r="I41" s="194"/>
      <c r="J41" s="195"/>
      <c r="K41" s="192"/>
      <c r="L41" s="192"/>
      <c r="M41" s="192"/>
      <c r="N41" s="192"/>
      <c r="O41" s="192"/>
      <c r="P41" s="193"/>
      <c r="Q41" s="194"/>
      <c r="R41" s="195"/>
      <c r="S41" s="192"/>
      <c r="T41" s="192"/>
      <c r="U41" s="192"/>
      <c r="V41" s="192"/>
      <c r="W41" s="192"/>
      <c r="X41" s="193"/>
      <c r="Y41" s="198"/>
      <c r="Z41" s="195"/>
      <c r="AA41" s="195"/>
      <c r="AB41" s="195"/>
      <c r="AC41" s="195"/>
      <c r="AD41" s="195"/>
      <c r="AE41" s="195"/>
      <c r="AF41" s="193"/>
      <c r="AG41" s="198"/>
      <c r="AH41" s="195"/>
      <c r="AI41" s="192"/>
      <c r="AJ41" s="192"/>
      <c r="AK41" s="192"/>
      <c r="AL41" s="192"/>
      <c r="AM41" s="192"/>
      <c r="AN41" s="193"/>
      <c r="AO41" s="198"/>
      <c r="AP41" s="195"/>
      <c r="AQ41" s="192"/>
      <c r="AR41" s="192"/>
      <c r="AS41" s="192"/>
      <c r="AT41" s="192"/>
      <c r="AU41" s="192"/>
      <c r="AV41" s="193"/>
      <c r="AW41" s="198"/>
      <c r="AX41" s="195"/>
      <c r="AY41" s="192"/>
      <c r="AZ41" s="192"/>
      <c r="BA41" s="192"/>
      <c r="BB41" s="192"/>
      <c r="BC41" s="192"/>
      <c r="BD41" s="193"/>
      <c r="BE41" s="198"/>
      <c r="BF41" s="195"/>
      <c r="BG41" s="192"/>
      <c r="BH41" s="192"/>
      <c r="BI41" s="192"/>
      <c r="BJ41" s="192"/>
      <c r="BK41" s="192"/>
      <c r="BL41" s="193"/>
      <c r="BM41" s="194"/>
      <c r="BN41" s="195"/>
      <c r="BO41" s="192"/>
      <c r="BP41" s="192"/>
      <c r="BQ41" s="192"/>
      <c r="BR41" s="192"/>
      <c r="BS41" s="192"/>
      <c r="BU41" s="194"/>
      <c r="BV41" s="192"/>
      <c r="BW41" s="192"/>
      <c r="BX41" s="192"/>
      <c r="BY41" s="192"/>
      <c r="BZ41" s="192"/>
      <c r="CA41" s="192"/>
      <c r="CB41" s="192"/>
      <c r="CC41" s="192"/>
      <c r="CD41" s="192"/>
      <c r="CE41" s="192"/>
      <c r="CF41" s="192"/>
      <c r="CG41" s="192"/>
      <c r="CH41" s="192"/>
      <c r="CI41" s="192"/>
      <c r="CJ41" s="192"/>
      <c r="CK41" s="192"/>
      <c r="CL41" s="192"/>
      <c r="CM41" s="192"/>
      <c r="CN41" s="192"/>
      <c r="CO41" s="192"/>
      <c r="CP41" s="192"/>
      <c r="CQ41" s="192"/>
      <c r="CR41" s="192"/>
      <c r="CS41" s="192"/>
      <c r="CT41" s="192"/>
      <c r="CU41" s="192"/>
      <c r="CV41" s="192"/>
      <c r="CW41" s="192"/>
      <c r="CX41" s="192"/>
      <c r="CY41" s="192"/>
      <c r="CZ41" s="192"/>
      <c r="DA41" s="192"/>
      <c r="DB41" s="192"/>
      <c r="DC41" s="192"/>
      <c r="DD41" s="192"/>
      <c r="DE41" s="192"/>
      <c r="DF41" s="192"/>
      <c r="DG41" s="192"/>
      <c r="DH41" s="192"/>
      <c r="DI41" s="192"/>
      <c r="DJ41" s="192"/>
      <c r="DK41" s="192"/>
      <c r="DL41" s="192"/>
      <c r="DM41" s="192"/>
      <c r="DN41" s="192"/>
      <c r="DO41" s="192"/>
      <c r="DP41" s="192"/>
      <c r="DQ41" s="192"/>
      <c r="DR41" s="192"/>
      <c r="DS41" s="192"/>
      <c r="DT41" s="192"/>
      <c r="DU41" s="192"/>
      <c r="DV41" s="192"/>
      <c r="DW41" s="192"/>
      <c r="DX41" s="192"/>
      <c r="DY41" s="192"/>
      <c r="DZ41" s="192"/>
      <c r="EA41" s="192"/>
      <c r="EB41" s="192"/>
      <c r="EC41" s="192"/>
      <c r="ED41" s="192"/>
      <c r="EE41" s="192"/>
    </row>
    <row r="42" spans="2:135">
      <c r="B42" s="192"/>
      <c r="C42" s="192"/>
      <c r="D42" s="192"/>
      <c r="E42" s="192"/>
      <c r="F42" s="192"/>
      <c r="G42" s="192"/>
      <c r="H42" s="193"/>
      <c r="I42" s="194"/>
      <c r="J42" s="195"/>
      <c r="K42" s="192"/>
      <c r="L42" s="192"/>
      <c r="M42" s="192"/>
      <c r="N42" s="192"/>
      <c r="O42" s="192"/>
      <c r="P42" s="193"/>
      <c r="Q42" s="194"/>
      <c r="R42" s="195"/>
      <c r="S42" s="192"/>
      <c r="T42" s="192"/>
      <c r="U42" s="192"/>
      <c r="V42" s="192"/>
      <c r="W42" s="192"/>
      <c r="X42" s="193"/>
      <c r="Y42" s="198"/>
      <c r="Z42" s="195"/>
      <c r="AA42" s="195"/>
      <c r="AB42" s="195"/>
      <c r="AC42" s="195"/>
      <c r="AD42" s="195"/>
      <c r="AE42" s="195"/>
      <c r="AF42" s="193"/>
      <c r="AG42" s="198"/>
      <c r="AH42" s="195"/>
      <c r="AI42" s="192"/>
      <c r="AJ42" s="192"/>
      <c r="AK42" s="192"/>
      <c r="AL42" s="192"/>
      <c r="AM42" s="192"/>
      <c r="AN42" s="193"/>
      <c r="AO42" s="198"/>
      <c r="AP42" s="195"/>
      <c r="AQ42" s="192"/>
      <c r="AR42" s="192"/>
      <c r="AS42" s="192"/>
      <c r="AT42" s="192"/>
      <c r="AU42" s="192"/>
      <c r="AV42" s="193"/>
      <c r="AW42" s="198"/>
      <c r="AX42" s="195"/>
      <c r="AY42" s="192"/>
      <c r="AZ42" s="192"/>
      <c r="BA42" s="192"/>
      <c r="BB42" s="192"/>
      <c r="BC42" s="192"/>
      <c r="BD42" s="193"/>
      <c r="BE42" s="198"/>
      <c r="BF42" s="195"/>
      <c r="BG42" s="192"/>
      <c r="BH42" s="192"/>
      <c r="BI42" s="192"/>
      <c r="BJ42" s="192"/>
      <c r="BK42" s="192"/>
      <c r="BL42" s="193"/>
      <c r="BM42" s="194"/>
      <c r="BN42" s="195"/>
      <c r="BO42" s="192"/>
      <c r="BP42" s="192"/>
      <c r="BQ42" s="192"/>
      <c r="BR42" s="192"/>
      <c r="BS42" s="192"/>
      <c r="BU42" s="194"/>
      <c r="BV42" s="192"/>
      <c r="BW42" s="192"/>
      <c r="BX42" s="192"/>
      <c r="BY42" s="192"/>
      <c r="BZ42" s="192"/>
      <c r="CA42" s="192"/>
      <c r="CB42" s="192"/>
      <c r="CC42" s="192"/>
      <c r="CD42" s="192"/>
      <c r="CE42" s="192"/>
      <c r="CF42" s="192"/>
      <c r="CG42" s="192"/>
      <c r="CH42" s="192"/>
      <c r="CI42" s="192"/>
      <c r="CJ42" s="192"/>
      <c r="CK42" s="192"/>
      <c r="CL42" s="192"/>
      <c r="CM42" s="192"/>
      <c r="CN42" s="192"/>
      <c r="CO42" s="192"/>
      <c r="CP42" s="192"/>
      <c r="CQ42" s="192"/>
      <c r="CR42" s="192"/>
      <c r="CS42" s="192"/>
      <c r="CT42" s="192"/>
      <c r="CU42" s="192"/>
      <c r="CV42" s="192"/>
      <c r="CW42" s="192"/>
      <c r="CX42" s="192"/>
      <c r="CY42" s="192"/>
      <c r="CZ42" s="192"/>
      <c r="DA42" s="192"/>
      <c r="DB42" s="192"/>
      <c r="DC42" s="192"/>
      <c r="DD42" s="192"/>
      <c r="DE42" s="192"/>
      <c r="DF42" s="192"/>
      <c r="DG42" s="192"/>
      <c r="DH42" s="192"/>
      <c r="DI42" s="192"/>
      <c r="DJ42" s="192"/>
      <c r="DK42" s="192"/>
      <c r="DL42" s="192"/>
      <c r="DM42" s="192"/>
      <c r="DN42" s="192"/>
      <c r="DO42" s="192"/>
      <c r="DP42" s="192"/>
      <c r="DQ42" s="192"/>
      <c r="DR42" s="192"/>
      <c r="DS42" s="192"/>
      <c r="DT42" s="192"/>
      <c r="DU42" s="192"/>
      <c r="DV42" s="192"/>
      <c r="DW42" s="192"/>
      <c r="DX42" s="192"/>
      <c r="DY42" s="192"/>
      <c r="DZ42" s="192"/>
      <c r="EA42" s="192"/>
      <c r="EB42" s="192"/>
      <c r="EC42" s="192"/>
      <c r="ED42" s="192"/>
      <c r="EE42" s="192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6"/>
  <sheetViews>
    <sheetView workbookViewId="0">
      <pane xSplit="1" ySplit="2" topLeftCell="B100" activePane="bottomRight" state="frozen"/>
      <selection pane="topRight" activeCell="B1" sqref="B1"/>
      <selection pane="bottomLeft" activeCell="A3" sqref="A3"/>
      <selection pane="bottomRight" activeCell="T118" sqref="T118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52"/>
    <col min="32" max="32" width="9" style="156"/>
    <col min="33" max="33" width="9" style="160"/>
    <col min="34" max="35" width="9" style="161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49"/>
      <c r="B1" s="656" t="s">
        <v>5</v>
      </c>
      <c r="C1" s="657"/>
      <c r="D1" s="657"/>
      <c r="E1" s="657"/>
      <c r="F1" s="658"/>
      <c r="G1" s="650" t="s">
        <v>6</v>
      </c>
      <c r="H1" s="651"/>
      <c r="I1" s="651"/>
      <c r="J1" s="652"/>
      <c r="K1" s="653" t="s">
        <v>7</v>
      </c>
      <c r="L1" s="654"/>
      <c r="M1" s="654"/>
      <c r="N1" s="655"/>
      <c r="O1" s="643" t="s">
        <v>8</v>
      </c>
      <c r="P1" s="644"/>
      <c r="Q1" s="644"/>
      <c r="R1" s="645"/>
      <c r="S1" s="646" t="s">
        <v>9</v>
      </c>
      <c r="T1" s="647"/>
      <c r="U1" s="647"/>
      <c r="V1" s="647"/>
      <c r="W1" s="648"/>
      <c r="X1" s="659" t="s">
        <v>48</v>
      </c>
      <c r="Y1" s="660"/>
      <c r="Z1" s="660"/>
      <c r="AA1" s="660"/>
      <c r="AB1" s="660"/>
      <c r="AC1" s="661"/>
      <c r="AD1" s="662" t="s">
        <v>52</v>
      </c>
      <c r="AE1" s="663"/>
      <c r="AF1" s="663"/>
      <c r="AJ1" s="637" t="s">
        <v>50</v>
      </c>
      <c r="AK1" s="638"/>
      <c r="AL1" s="638"/>
      <c r="AM1" s="639"/>
      <c r="AN1" s="640" t="s">
        <v>51</v>
      </c>
      <c r="AO1" s="641"/>
      <c r="AP1" s="641"/>
      <c r="AQ1" s="642"/>
    </row>
    <row r="2" spans="1:43">
      <c r="A2" s="649"/>
      <c r="B2" s="53" t="s">
        <v>1</v>
      </c>
      <c r="C2" s="53" t="s">
        <v>2</v>
      </c>
      <c r="D2" s="53" t="s">
        <v>3</v>
      </c>
      <c r="E2" s="53" t="s">
        <v>4</v>
      </c>
      <c r="F2" s="54" t="s">
        <v>49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129</v>
      </c>
      <c r="AC2" s="28" t="s">
        <v>49</v>
      </c>
      <c r="AD2" s="95" t="s">
        <v>173</v>
      </c>
      <c r="AE2" s="95" t="s">
        <v>174</v>
      </c>
      <c r="AF2" s="153" t="s">
        <v>53</v>
      </c>
      <c r="AG2" s="162" t="s">
        <v>175</v>
      </c>
      <c r="AH2" s="163" t="s">
        <v>460</v>
      </c>
      <c r="AI2" s="163" t="s">
        <v>344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54"/>
      <c r="AG3" s="164"/>
      <c r="AH3" s="165"/>
      <c r="AI3" s="165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55"/>
      <c r="AG4" s="166"/>
      <c r="AH4" s="167"/>
      <c r="AI4" s="167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55"/>
      <c r="AG5" s="166"/>
      <c r="AH5" s="167"/>
      <c r="AI5" s="167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55"/>
      <c r="AG6" s="166"/>
      <c r="AH6" s="167"/>
      <c r="AI6" s="167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55"/>
      <c r="AG7" s="166"/>
      <c r="AH7" s="167"/>
      <c r="AI7" s="167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55">
        <f t="shared" ref="AF8:AF71" si="6">AC8-AD8-F8-AE8</f>
        <v>20</v>
      </c>
      <c r="AG8" s="166">
        <v>1690</v>
      </c>
      <c r="AH8" s="167">
        <v>1620</v>
      </c>
      <c r="AI8" s="167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55">
        <f t="shared" si="6"/>
        <v>-30</v>
      </c>
      <c r="AG9" s="166">
        <v>1717</v>
      </c>
      <c r="AH9" s="167">
        <v>1620</v>
      </c>
      <c r="AI9" s="167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55">
        <f t="shared" si="6"/>
        <v>-30</v>
      </c>
      <c r="AG10" s="166">
        <v>1697</v>
      </c>
      <c r="AH10" s="167">
        <v>1620</v>
      </c>
      <c r="AI10" s="167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55">
        <f t="shared" si="6"/>
        <v>0</v>
      </c>
      <c r="AG11" s="166">
        <v>1735</v>
      </c>
      <c r="AH11" s="167">
        <v>1650</v>
      </c>
      <c r="AI11" s="167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55">
        <f t="shared" si="6"/>
        <v>10</v>
      </c>
      <c r="AG12" s="166">
        <v>1688</v>
      </c>
      <c r="AH12" s="167">
        <v>1650</v>
      </c>
      <c r="AI12" s="167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55">
        <f t="shared" si="6"/>
        <v>-30</v>
      </c>
      <c r="AG13" s="166">
        <v>1682</v>
      </c>
      <c r="AH13" s="167">
        <v>1670</v>
      </c>
      <c r="AI13" s="167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55">
        <f t="shared" si="6"/>
        <v>-60</v>
      </c>
      <c r="AG14" s="166">
        <v>1702</v>
      </c>
      <c r="AH14" s="167">
        <v>1670</v>
      </c>
      <c r="AI14" s="167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55">
        <f t="shared" si="6"/>
        <v>-50</v>
      </c>
      <c r="AG15" s="166">
        <v>1742</v>
      </c>
      <c r="AH15" s="167">
        <v>1670</v>
      </c>
      <c r="AI15" s="167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55">
        <f t="shared" si="6"/>
        <v>-40</v>
      </c>
      <c r="AG16" s="166">
        <v>1702</v>
      </c>
      <c r="AH16" s="167">
        <v>1690</v>
      </c>
      <c r="AI16" s="167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55">
        <f t="shared" si="6"/>
        <v>-30</v>
      </c>
      <c r="AG17" s="166">
        <v>1721</v>
      </c>
      <c r="AH17" s="167">
        <v>1690</v>
      </c>
      <c r="AI17" s="167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55">
        <f t="shared" si="6"/>
        <v>-15</v>
      </c>
      <c r="AG18" s="166">
        <v>1711</v>
      </c>
      <c r="AH18" s="167">
        <v>1690</v>
      </c>
      <c r="AI18" s="167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55">
        <f t="shared" si="6"/>
        <v>0</v>
      </c>
      <c r="AG19" s="166">
        <v>1728</v>
      </c>
      <c r="AH19" s="167">
        <v>1700</v>
      </c>
      <c r="AI19" s="167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55">
        <f t="shared" si="6"/>
        <v>10</v>
      </c>
      <c r="AG20" s="166">
        <v>1715</v>
      </c>
      <c r="AH20" s="167">
        <v>1760</v>
      </c>
      <c r="AI20" s="167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55">
        <f t="shared" si="6"/>
        <v>0</v>
      </c>
      <c r="AG21" s="166">
        <v>1722</v>
      </c>
      <c r="AH21" s="167">
        <v>1760</v>
      </c>
      <c r="AI21" s="167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55">
        <f t="shared" si="6"/>
        <v>30</v>
      </c>
      <c r="AG22" s="166">
        <v>1712</v>
      </c>
      <c r="AH22" s="167">
        <v>1750</v>
      </c>
      <c r="AI22" s="167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55">
        <f t="shared" si="6"/>
        <v>-20</v>
      </c>
      <c r="AG23" s="166">
        <v>1756</v>
      </c>
      <c r="AH23" s="167">
        <v>1750</v>
      </c>
      <c r="AI23" s="167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55">
        <f t="shared" si="6"/>
        <v>-60</v>
      </c>
      <c r="AG24" s="166">
        <v>1734</v>
      </c>
      <c r="AH24" s="167">
        <v>1750</v>
      </c>
      <c r="AI24" s="167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55">
        <f t="shared" si="6"/>
        <v>-70</v>
      </c>
      <c r="AG25" s="166">
        <v>1707</v>
      </c>
      <c r="AH25" s="167">
        <v>1720</v>
      </c>
      <c r="AI25" s="167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55">
        <f t="shared" si="6"/>
        <v>-40</v>
      </c>
      <c r="AG26" s="166">
        <v>1692</v>
      </c>
      <c r="AH26" s="167">
        <v>1740</v>
      </c>
      <c r="AI26" s="167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55">
        <f t="shared" si="6"/>
        <v>-40</v>
      </c>
      <c r="AG27" s="166">
        <v>1771</v>
      </c>
      <c r="AH27" s="167">
        <v>1820</v>
      </c>
      <c r="AI27" s="167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55">
        <f t="shared" si="6"/>
        <v>-40</v>
      </c>
      <c r="AG28" s="166">
        <v>1717</v>
      </c>
      <c r="AH28" s="167">
        <v>1820</v>
      </c>
      <c r="AI28" s="167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55">
        <f t="shared" si="6"/>
        <v>-30</v>
      </c>
      <c r="AG29" s="166">
        <v>1760</v>
      </c>
      <c r="AH29" s="167">
        <v>1820</v>
      </c>
      <c r="AI29" s="167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55">
        <f t="shared" si="6"/>
        <v>0</v>
      </c>
      <c r="AG30" s="166">
        <v>1709</v>
      </c>
      <c r="AH30" s="167">
        <v>1820</v>
      </c>
      <c r="AI30" s="167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55">
        <f t="shared" si="6"/>
        <v>-10</v>
      </c>
      <c r="AG31" s="166">
        <v>1670</v>
      </c>
      <c r="AH31" s="167">
        <v>1820</v>
      </c>
      <c r="AI31" s="167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55">
        <f t="shared" si="6"/>
        <v>-20</v>
      </c>
      <c r="AG32" s="166">
        <v>1625</v>
      </c>
      <c r="AH32" s="167">
        <v>1820</v>
      </c>
      <c r="AI32" s="167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55">
        <f t="shared" si="6"/>
        <v>0</v>
      </c>
      <c r="AG33" s="166">
        <v>1607</v>
      </c>
      <c r="AH33" s="167">
        <v>1820</v>
      </c>
      <c r="AI33" s="167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55">
        <f t="shared" si="6"/>
        <v>0</v>
      </c>
      <c r="AG34" s="166">
        <v>1643</v>
      </c>
      <c r="AH34" s="167">
        <v>1820</v>
      </c>
      <c r="AI34" s="167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55">
        <f t="shared" si="6"/>
        <v>-20</v>
      </c>
      <c r="AG35" s="166">
        <v>1631</v>
      </c>
      <c r="AH35" s="167">
        <v>1810</v>
      </c>
      <c r="AI35" s="167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55">
        <f t="shared" si="6"/>
        <v>-40</v>
      </c>
      <c r="AG36" s="166">
        <v>1604</v>
      </c>
      <c r="AH36" s="167">
        <v>1800</v>
      </c>
      <c r="AI36" s="167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55">
        <f t="shared" si="6"/>
        <v>-30</v>
      </c>
      <c r="AG37" s="166">
        <v>1611</v>
      </c>
      <c r="AH37" s="167">
        <v>1800</v>
      </c>
      <c r="AI37" s="167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55">
        <f t="shared" si="6"/>
        <v>-10</v>
      </c>
      <c r="AG38" s="166">
        <v>1616</v>
      </c>
      <c r="AH38" s="167">
        <v>1800</v>
      </c>
      <c r="AI38" s="167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55">
        <f t="shared" si="6"/>
        <v>20</v>
      </c>
      <c r="AG39" s="166">
        <v>1612</v>
      </c>
      <c r="AH39" s="167">
        <v>1780</v>
      </c>
      <c r="AI39" s="167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55">
        <f t="shared" si="6"/>
        <v>20</v>
      </c>
      <c r="AG40" s="166">
        <v>1633</v>
      </c>
      <c r="AH40" s="167">
        <v>1790</v>
      </c>
      <c r="AI40" s="167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55">
        <f t="shared" si="6"/>
        <v>15</v>
      </c>
      <c r="AG41" s="166">
        <v>1654</v>
      </c>
      <c r="AH41" s="167">
        <v>1790</v>
      </c>
      <c r="AI41" s="167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55">
        <f t="shared" si="6"/>
        <v>20</v>
      </c>
      <c r="AG42" s="166">
        <v>1644</v>
      </c>
      <c r="AH42" s="167">
        <v>1800</v>
      </c>
      <c r="AI42" s="167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55">
        <f t="shared" si="6"/>
        <v>30</v>
      </c>
      <c r="AG43" s="166">
        <v>1623</v>
      </c>
      <c r="AH43" s="167">
        <v>1790</v>
      </c>
      <c r="AI43" s="167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55">
        <f t="shared" si="6"/>
        <v>35</v>
      </c>
      <c r="AG44" s="166">
        <v>1569</v>
      </c>
      <c r="AH44" s="167">
        <v>1810</v>
      </c>
      <c r="AI44" s="167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55">
        <f t="shared" si="6"/>
        <v>5</v>
      </c>
      <c r="AG45" s="166">
        <v>1589</v>
      </c>
      <c r="AH45" s="167">
        <v>1810</v>
      </c>
      <c r="AI45" s="167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55">
        <f t="shared" si="6"/>
        <v>10</v>
      </c>
      <c r="AG46" s="166">
        <v>1565</v>
      </c>
      <c r="AH46" s="167">
        <v>1820</v>
      </c>
      <c r="AI46" s="167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55">
        <f t="shared" si="6"/>
        <v>0</v>
      </c>
      <c r="AG47" s="166">
        <v>1590</v>
      </c>
      <c r="AH47" s="167">
        <v>1830</v>
      </c>
      <c r="AI47" s="167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55">
        <f t="shared" si="6"/>
        <v>-10</v>
      </c>
      <c r="AG48" s="166">
        <v>1578</v>
      </c>
      <c r="AH48" s="167">
        <v>1850</v>
      </c>
      <c r="AI48" s="167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55">
        <f t="shared" si="6"/>
        <v>0</v>
      </c>
      <c r="AG49" s="166">
        <v>1594</v>
      </c>
      <c r="AH49" s="167">
        <v>1860</v>
      </c>
      <c r="AI49" s="167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55">
        <f t="shared" si="6"/>
        <v>-30</v>
      </c>
      <c r="AG50" s="166">
        <v>1586</v>
      </c>
      <c r="AH50" s="167">
        <v>1870</v>
      </c>
      <c r="AI50" s="167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55">
        <f t="shared" si="6"/>
        <v>-10</v>
      </c>
      <c r="AG51" s="166">
        <v>1573</v>
      </c>
      <c r="AH51" s="167">
        <v>1880</v>
      </c>
      <c r="AI51" s="167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55">
        <f t="shared" si="6"/>
        <v>-30</v>
      </c>
      <c r="AG52" s="166">
        <v>1567</v>
      </c>
      <c r="AH52" s="167">
        <v>1890</v>
      </c>
      <c r="AI52" s="167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55">
        <f t="shared" si="6"/>
        <v>-50</v>
      </c>
      <c r="AG53" s="166">
        <v>1558</v>
      </c>
      <c r="AH53" s="167">
        <v>1880</v>
      </c>
      <c r="AI53" s="167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55">
        <f t="shared" si="6"/>
        <v>-50</v>
      </c>
      <c r="AG54" s="166">
        <v>1552</v>
      </c>
      <c r="AH54" s="167">
        <v>1880</v>
      </c>
      <c r="AI54" s="167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55">
        <f t="shared" si="6"/>
        <v>-60</v>
      </c>
      <c r="AG55" s="166">
        <v>1558</v>
      </c>
      <c r="AH55" s="167">
        <v>1870</v>
      </c>
      <c r="AI55" s="167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55">
        <f t="shared" si="6"/>
        <v>-20</v>
      </c>
      <c r="AG56" s="166">
        <v>1582</v>
      </c>
      <c r="AH56" s="167">
        <v>1890</v>
      </c>
      <c r="AI56" s="167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55">
        <f t="shared" si="6"/>
        <v>-50</v>
      </c>
      <c r="AG57" s="166">
        <v>1586</v>
      </c>
      <c r="AH57" s="167">
        <v>1890</v>
      </c>
      <c r="AI57" s="167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55">
        <f t="shared" si="6"/>
        <v>-70</v>
      </c>
      <c r="AG58" s="166">
        <v>1591</v>
      </c>
      <c r="AH58" s="167">
        <v>1910</v>
      </c>
      <c r="AI58" s="167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55">
        <f t="shared" si="6"/>
        <v>-40</v>
      </c>
      <c r="AG59" s="166">
        <v>1650</v>
      </c>
      <c r="AH59" s="167">
        <v>1940</v>
      </c>
      <c r="AI59" s="167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55">
        <f t="shared" si="6"/>
        <v>-40</v>
      </c>
      <c r="AG60" s="166">
        <v>1674</v>
      </c>
      <c r="AH60" s="167">
        <v>1950</v>
      </c>
      <c r="AI60" s="167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55">
        <f t="shared" si="6"/>
        <v>-10</v>
      </c>
      <c r="AG61" s="166">
        <v>1653</v>
      </c>
      <c r="AH61" s="167">
        <v>1950</v>
      </c>
      <c r="AI61" s="167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55">
        <f t="shared" si="6"/>
        <v>0</v>
      </c>
      <c r="AG62" s="166">
        <v>1617</v>
      </c>
      <c r="AH62" s="167">
        <v>1940</v>
      </c>
      <c r="AI62" s="167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55">
        <f t="shared" si="6"/>
        <v>-30</v>
      </c>
      <c r="AG63" s="166">
        <v>1644</v>
      </c>
      <c r="AH63" s="167">
        <v>1960</v>
      </c>
      <c r="AI63" s="167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55">
        <f t="shared" si="6"/>
        <v>0</v>
      </c>
      <c r="AG64" s="166">
        <v>1633</v>
      </c>
      <c r="AH64" s="167">
        <v>1950</v>
      </c>
      <c r="AI64" s="167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55">
        <f t="shared" si="6"/>
        <v>-30</v>
      </c>
      <c r="AG65" s="166">
        <v>1633</v>
      </c>
      <c r="AH65" s="167">
        <v>1930</v>
      </c>
      <c r="AI65" s="167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55">
        <f t="shared" si="6"/>
        <v>-50</v>
      </c>
      <c r="AG66" s="166">
        <v>1612</v>
      </c>
      <c r="AH66" s="167">
        <v>1960</v>
      </c>
      <c r="AI66" s="167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55">
        <f t="shared" si="6"/>
        <v>-50</v>
      </c>
      <c r="AG67" s="166">
        <v>1645</v>
      </c>
      <c r="AH67" s="167">
        <v>2000</v>
      </c>
      <c r="AI67" s="167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55">
        <f t="shared" si="6"/>
        <v>-65</v>
      </c>
      <c r="AG68" s="166">
        <v>1623</v>
      </c>
      <c r="AH68" s="167">
        <v>1990</v>
      </c>
      <c r="AI68" s="167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55">
        <f t="shared" si="6"/>
        <v>-40</v>
      </c>
      <c r="AG69" s="166">
        <v>1631</v>
      </c>
      <c r="AH69" s="167">
        <v>1930</v>
      </c>
      <c r="AI69" s="167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55">
        <f t="shared" si="6"/>
        <v>-40</v>
      </c>
      <c r="AG70" s="166">
        <v>1656</v>
      </c>
      <c r="AH70" s="167">
        <v>1880</v>
      </c>
      <c r="AI70" s="167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55">
        <f t="shared" si="6"/>
        <v>-50</v>
      </c>
      <c r="AG71" s="166">
        <v>1634</v>
      </c>
      <c r="AH71" s="167">
        <v>1830</v>
      </c>
      <c r="AI71" s="167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55">
        <f t="shared" ref="AF72:AF80" si="21">AC72-AD72-F72-AE72</f>
        <v>-60</v>
      </c>
      <c r="AG72" s="166">
        <v>1583</v>
      </c>
      <c r="AH72" s="167">
        <v>1810</v>
      </c>
      <c r="AI72" s="167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55">
        <f t="shared" si="21"/>
        <v>-60</v>
      </c>
      <c r="AG73" s="166">
        <v>1553</v>
      </c>
      <c r="AH73" s="167">
        <v>1800</v>
      </c>
      <c r="AI73" s="167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55">
        <f t="shared" si="21"/>
        <v>-60</v>
      </c>
      <c r="AG74" s="166">
        <v>1547</v>
      </c>
      <c r="AH74" s="167">
        <v>1850</v>
      </c>
      <c r="AI74" s="167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55">
        <f t="shared" si="21"/>
        <v>-60</v>
      </c>
      <c r="AG75" s="166">
        <v>1543</v>
      </c>
      <c r="AH75" s="167">
        <v>1850</v>
      </c>
      <c r="AI75" s="167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55">
        <f t="shared" si="21"/>
        <v>-20</v>
      </c>
      <c r="AG76" s="166">
        <v>1575</v>
      </c>
      <c r="AH76" s="167">
        <v>1860</v>
      </c>
      <c r="AI76" s="167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55">
        <f t="shared" si="21"/>
        <v>-20</v>
      </c>
      <c r="AG77" s="166">
        <v>1565</v>
      </c>
      <c r="AH77" s="167">
        <v>1860</v>
      </c>
      <c r="AI77" s="167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55">
        <f t="shared" si="21"/>
        <v>-20</v>
      </c>
      <c r="AG78" s="166">
        <v>1993</v>
      </c>
      <c r="AH78" s="167">
        <v>1860</v>
      </c>
      <c r="AI78" s="167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55">
        <f t="shared" si="21"/>
        <v>-25</v>
      </c>
      <c r="AG79" s="166">
        <v>2038</v>
      </c>
      <c r="AH79" s="167">
        <v>1860</v>
      </c>
      <c r="AI79" s="167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55">
        <f t="shared" si="21"/>
        <v>-25</v>
      </c>
      <c r="AG80" s="166">
        <v>2069</v>
      </c>
      <c r="AH80" s="167">
        <v>1900</v>
      </c>
      <c r="AI80" s="167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55">
        <f t="shared" ref="AF81:AF84" si="22">AC81-AD81-F81-AE81</f>
        <v>-25</v>
      </c>
      <c r="AG81" s="166">
        <v>2079</v>
      </c>
      <c r="AH81" s="167">
        <v>1950</v>
      </c>
      <c r="AI81" s="167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55">
        <f t="shared" si="22"/>
        <v>-20</v>
      </c>
      <c r="AG82" s="166">
        <v>2079</v>
      </c>
      <c r="AH82" s="167">
        <v>2020</v>
      </c>
      <c r="AI82" s="167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55">
        <f t="shared" si="22"/>
        <v>-30</v>
      </c>
      <c r="AG83" s="166">
        <v>2005</v>
      </c>
      <c r="AH83" s="167">
        <v>2020</v>
      </c>
      <c r="AI83" s="167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55">
        <f t="shared" si="22"/>
        <v>-30</v>
      </c>
      <c r="AG84" s="166">
        <v>1970</v>
      </c>
      <c r="AH84" s="167">
        <v>2020</v>
      </c>
      <c r="AI84" s="167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55">
        <f t="shared" ref="AF85:AF90" si="45">AC85-AD85-F85-AE85</f>
        <v>-21</v>
      </c>
      <c r="AG85" s="168">
        <v>2083</v>
      </c>
      <c r="AH85" s="169">
        <v>2000</v>
      </c>
      <c r="AI85" s="169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47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58">
        <f t="shared" si="44"/>
        <v>77.59999999999998</v>
      </c>
      <c r="Y86" s="36">
        <v>14.5</v>
      </c>
      <c r="Z86" s="36">
        <v>37.6</v>
      </c>
      <c r="AA86" s="159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55">
        <f t="shared" si="45"/>
        <v>-2</v>
      </c>
      <c r="AG86" s="168">
        <v>2019</v>
      </c>
      <c r="AH86" s="169">
        <v>2000</v>
      </c>
      <c r="AI86" s="169">
        <v>1900</v>
      </c>
      <c r="AJ86" s="157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47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75">
        <f t="shared" si="44"/>
        <v>54.499999999999979</v>
      </c>
      <c r="Y87" s="36">
        <v>40.299999999999997</v>
      </c>
      <c r="Z87" s="36">
        <v>19.7</v>
      </c>
      <c r="AA87" s="176">
        <f t="shared" si="36"/>
        <v>75.09999999999998</v>
      </c>
      <c r="AB87" s="78">
        <f t="shared" ref="AB87:AB89" si="56">AA87-AA86</f>
        <v>20.6</v>
      </c>
      <c r="AC87" s="177">
        <v>1920</v>
      </c>
      <c r="AD87" s="97">
        <v>90</v>
      </c>
      <c r="AE87" s="97">
        <v>62</v>
      </c>
      <c r="AF87" s="155">
        <f t="shared" si="45"/>
        <v>-2</v>
      </c>
      <c r="AG87" s="160">
        <v>2024</v>
      </c>
      <c r="AH87" s="169">
        <v>2000</v>
      </c>
      <c r="AI87" s="169">
        <v>1900</v>
      </c>
      <c r="AJ87" s="174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47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05">
        <f t="shared" si="44"/>
        <v>75.09999999999998</v>
      </c>
      <c r="Y88" s="36">
        <v>34.6</v>
      </c>
      <c r="Z88" s="36">
        <v>30.2</v>
      </c>
      <c r="AA88" s="206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55">
        <f t="shared" si="45"/>
        <v>8</v>
      </c>
      <c r="AG88" s="160">
        <v>2106</v>
      </c>
      <c r="AH88" s="161">
        <v>2010</v>
      </c>
      <c r="AI88" s="169">
        <v>1900</v>
      </c>
      <c r="AJ88" s="202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47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07">
        <f t="shared" ref="T89" si="58">C89+H89+L89+P89</f>
        <v>66.7</v>
      </c>
      <c r="U89" s="207">
        <f t="shared" ref="U89" si="59">D89+I89+M89+Q89</f>
        <v>74.600000000000009</v>
      </c>
      <c r="V89" s="207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06">
        <v>11.6</v>
      </c>
      <c r="Z89" s="206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55">
        <f t="shared" si="45"/>
        <v>-17</v>
      </c>
      <c r="AG89" s="160">
        <v>2101</v>
      </c>
      <c r="AH89" s="161">
        <v>2010</v>
      </c>
      <c r="AI89" s="169">
        <v>1900</v>
      </c>
      <c r="AJ89" s="204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47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12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09">
        <f t="shared" ref="T90" si="68">C90+H90+L90+P90</f>
        <v>50</v>
      </c>
      <c r="U90" s="209">
        <f t="shared" ref="U90" si="69">D90+I90+M90+Q90</f>
        <v>44.099999999999994</v>
      </c>
      <c r="V90" s="209">
        <f t="shared" ref="V90" si="70">E90+J90+N90+R90</f>
        <v>308.10000000000002</v>
      </c>
      <c r="W90" s="73">
        <f t="shared" ref="W90" si="71">V90-V89</f>
        <v>5.8999999999999773</v>
      </c>
      <c r="X90" s="210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11">
        <v>1905</v>
      </c>
      <c r="AD90" s="97">
        <v>90</v>
      </c>
      <c r="AE90" s="97">
        <v>70</v>
      </c>
      <c r="AF90" s="155">
        <f t="shared" si="45"/>
        <v>-15</v>
      </c>
      <c r="AG90" s="160">
        <v>2125</v>
      </c>
      <c r="AH90" s="161">
        <v>2010</v>
      </c>
      <c r="AI90" s="169">
        <v>1900</v>
      </c>
      <c r="AJ90" s="208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47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20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21">
        <f t="shared" ref="T91" si="74">C91+H91+L91+P91</f>
        <v>59.2</v>
      </c>
      <c r="U91" s="221">
        <f t="shared" ref="U91" si="75">D91+I91+M91+Q91</f>
        <v>56.9</v>
      </c>
      <c r="V91" s="221">
        <f t="shared" ref="V91" si="76">E91+J91+N91+R91</f>
        <v>310.40000000000009</v>
      </c>
      <c r="W91" s="73">
        <f t="shared" ref="W91" si="77">V91-V90</f>
        <v>2.3000000000000682</v>
      </c>
      <c r="X91" s="214">
        <f t="shared" si="44"/>
        <v>82.299999999999983</v>
      </c>
      <c r="Y91" s="36">
        <v>12.4</v>
      </c>
      <c r="Z91" s="36">
        <v>30</v>
      </c>
      <c r="AA91" s="215">
        <f t="shared" ref="AA91:AA92" si="78">X91+Y91-Z91</f>
        <v>64.699999999999989</v>
      </c>
      <c r="AB91" s="78">
        <f t="shared" ref="AB91:AB92" si="79">AA91-AA90</f>
        <v>-17.599999999999994</v>
      </c>
      <c r="AC91" s="216">
        <v>1925</v>
      </c>
      <c r="AD91" s="97">
        <v>90</v>
      </c>
      <c r="AE91" s="97">
        <v>70</v>
      </c>
      <c r="AF91" s="155">
        <f t="shared" ref="AF91:AF92" si="80">AC91-AD91-F91-AE91</f>
        <v>-35</v>
      </c>
      <c r="AG91" s="160">
        <v>2139</v>
      </c>
      <c r="AH91" s="161">
        <v>2025</v>
      </c>
      <c r="AI91" s="169">
        <v>1900</v>
      </c>
      <c r="AJ91" s="213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47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24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25">
        <f t="shared" ref="T92" si="81">C92+H92+L92+P92</f>
        <v>72.600000000000009</v>
      </c>
      <c r="U92" s="225">
        <f t="shared" ref="U92" si="82">D92+I92+M92+Q92</f>
        <v>65.7</v>
      </c>
      <c r="V92" s="225">
        <f t="shared" ref="V92" si="83">E92+J92+N92+R92</f>
        <v>317.30000000000007</v>
      </c>
      <c r="W92" s="73">
        <f t="shared" ref="W92" si="84">V92-V91</f>
        <v>6.8999999999999773</v>
      </c>
      <c r="X92" s="223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55">
        <f t="shared" si="80"/>
        <v>-45</v>
      </c>
      <c r="AG92" s="160">
        <v>2154</v>
      </c>
      <c r="AH92" s="161">
        <v>2025</v>
      </c>
      <c r="AI92" s="169">
        <v>1900</v>
      </c>
      <c r="AJ92" s="222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47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28">
        <f t="shared" ref="T93" si="87">C93+H93+L93+P93</f>
        <v>62.7</v>
      </c>
      <c r="U93" s="228">
        <f t="shared" ref="U93" si="88">D93+I93+M93+Q93</f>
        <v>71</v>
      </c>
      <c r="V93" s="228">
        <f t="shared" ref="V93" si="89">E93+J93+N93+R93</f>
        <v>309.00000000000011</v>
      </c>
      <c r="W93" s="73">
        <f t="shared" ref="W93" si="90">V93-V92</f>
        <v>-8.2999999999999545</v>
      </c>
      <c r="X93" s="229">
        <f t="shared" si="44"/>
        <v>45.599999999999994</v>
      </c>
      <c r="Y93" s="36">
        <v>44.7</v>
      </c>
      <c r="Z93" s="36">
        <v>24.4</v>
      </c>
      <c r="AA93" s="230">
        <f t="shared" ref="AA93" si="91">X93+Y93-Z93</f>
        <v>65.900000000000006</v>
      </c>
      <c r="AB93" s="78">
        <f t="shared" ref="AB93" si="92">AA93-AA92</f>
        <v>20.300000000000011</v>
      </c>
      <c r="AC93" s="231">
        <v>1970</v>
      </c>
      <c r="AD93" s="97">
        <v>90</v>
      </c>
      <c r="AE93" s="97">
        <v>65</v>
      </c>
      <c r="AF93" s="155">
        <f t="shared" ref="AF93" si="93">AC93-AD93-F93-AE93</f>
        <v>-35</v>
      </c>
      <c r="AG93" s="160">
        <v>2171</v>
      </c>
      <c r="AH93" s="161">
        <v>2050</v>
      </c>
      <c r="AI93" s="169">
        <v>1900</v>
      </c>
      <c r="AJ93" s="227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47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49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50">
        <f t="shared" ref="T94" si="99">C94+H94+L94+P94</f>
        <v>65.8</v>
      </c>
      <c r="U94" s="250">
        <f t="shared" ref="U94" si="100">D94+I94+M94+Q94</f>
        <v>78.899999999999991</v>
      </c>
      <c r="V94" s="250">
        <f t="shared" ref="V94" si="101">E94+J94+N94+R94</f>
        <v>295.90000000000009</v>
      </c>
      <c r="W94" s="73">
        <f t="shared" ref="W94" si="102">V94-V93</f>
        <v>-13.100000000000023</v>
      </c>
      <c r="X94" s="251">
        <f t="shared" si="44"/>
        <v>65.900000000000006</v>
      </c>
      <c r="Y94" s="36">
        <v>26.6</v>
      </c>
      <c r="Z94" s="36">
        <v>26.3</v>
      </c>
      <c r="AA94" s="252">
        <f t="shared" ref="AA94" si="103">X94+Y94-Z94</f>
        <v>66.2</v>
      </c>
      <c r="AB94" s="78">
        <f t="shared" ref="AB94" si="104">AA94-AA93</f>
        <v>0.29999999999999716</v>
      </c>
      <c r="AC94" s="253">
        <v>1970</v>
      </c>
      <c r="AD94" s="97">
        <v>90</v>
      </c>
      <c r="AE94" s="97">
        <v>68</v>
      </c>
      <c r="AF94" s="155">
        <f t="shared" ref="AF94" si="105">AC94-AD94-F94-AE94</f>
        <v>-58</v>
      </c>
      <c r="AG94" s="160">
        <v>2255</v>
      </c>
      <c r="AH94" s="161">
        <v>2050</v>
      </c>
      <c r="AI94" s="169">
        <v>1900</v>
      </c>
      <c r="AJ94" s="248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47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61">
        <v>24.9</v>
      </c>
      <c r="I95" s="261">
        <v>18.3</v>
      </c>
      <c r="J95" s="262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63">
        <f t="shared" ref="T95" si="115">C95+H95+L95+P95</f>
        <v>72.399999999999991</v>
      </c>
      <c r="U95" s="263">
        <f t="shared" ref="U95" si="116">D95+I95+M95+Q95</f>
        <v>52.8</v>
      </c>
      <c r="V95" s="263">
        <f t="shared" ref="V95" si="117">E95+J95+N95+R95</f>
        <v>315.50000000000006</v>
      </c>
      <c r="W95" s="73">
        <f t="shared" ref="W95" si="118">V95-V94</f>
        <v>19.599999999999966</v>
      </c>
      <c r="X95" s="264">
        <f t="shared" ref="X95" si="119">AA94</f>
        <v>66.2</v>
      </c>
      <c r="Y95" s="265">
        <v>46.9</v>
      </c>
      <c r="Z95" s="265">
        <v>24.5</v>
      </c>
      <c r="AA95" s="265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55">
        <f t="shared" ref="AF95" si="122">AC95-AD95-F95-AE95</f>
        <v>-46</v>
      </c>
      <c r="AG95" s="160">
        <v>2166</v>
      </c>
      <c r="AH95" s="161">
        <v>2050</v>
      </c>
      <c r="AI95" s="169">
        <v>1900</v>
      </c>
      <c r="AJ95" s="255">
        <f t="shared" ref="AJ95" si="123">AM94</f>
        <v>10.599999999999994</v>
      </c>
      <c r="AK95" s="256">
        <v>5</v>
      </c>
      <c r="AL95" s="256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57">
        <v>6.3</v>
      </c>
      <c r="AP95" s="257">
        <v>8</v>
      </c>
      <c r="AQ95" s="147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74">
        <v>17.100000000000001</v>
      </c>
      <c r="I96" s="274">
        <v>17.899999999999999</v>
      </c>
      <c r="J96" s="275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76">
        <f t="shared" ref="T96" si="135">C96+H96+L96+P96</f>
        <v>67.300000000000011</v>
      </c>
      <c r="U96" s="276">
        <f t="shared" ref="U96" si="136">D96+I96+M96+Q96</f>
        <v>60</v>
      </c>
      <c r="V96" s="276">
        <f t="shared" ref="V96" si="137">E96+J96+N96+R96</f>
        <v>322.80000000000007</v>
      </c>
      <c r="W96" s="73">
        <f t="shared" ref="W96" si="138">V96-V95</f>
        <v>7.3000000000000114</v>
      </c>
      <c r="X96" s="271">
        <f t="shared" ref="X96" si="139">AA95</f>
        <v>88.6</v>
      </c>
      <c r="Y96" s="272">
        <v>24.6</v>
      </c>
      <c r="Z96" s="272">
        <v>28.3</v>
      </c>
      <c r="AA96" s="272">
        <f t="shared" ref="AA96" si="140">X96+Y96-Z96</f>
        <v>84.899999999999991</v>
      </c>
      <c r="AB96" s="78">
        <f t="shared" ref="AB96" si="141">AA96-AA95</f>
        <v>-3.7000000000000028</v>
      </c>
      <c r="AC96" s="273">
        <v>1990</v>
      </c>
      <c r="AD96" s="97">
        <v>90</v>
      </c>
      <c r="AE96" s="97">
        <v>63</v>
      </c>
      <c r="AF96" s="155">
        <f t="shared" ref="AF96" si="142">AC96-AD96-F96-AE96</f>
        <v>-43</v>
      </c>
      <c r="AG96" s="160">
        <v>2147</v>
      </c>
      <c r="AH96" s="161">
        <v>2030</v>
      </c>
      <c r="AI96" s="169">
        <v>1930</v>
      </c>
      <c r="AJ96" s="268">
        <f t="shared" ref="AJ96" si="143">AM95</f>
        <v>10.799999999999994</v>
      </c>
      <c r="AK96" s="269">
        <v>6.6</v>
      </c>
      <c r="AL96" s="269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70">
        <v>12.1</v>
      </c>
      <c r="AP96" s="270">
        <v>7</v>
      </c>
      <c r="AQ96" s="147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18">
        <v>12.5</v>
      </c>
      <c r="I97" s="318">
        <v>12.9</v>
      </c>
      <c r="J97" s="319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84">
        <f t="shared" ref="T97" si="155">C97+H97+L97+P97</f>
        <v>53.5</v>
      </c>
      <c r="U97" s="284">
        <f t="shared" ref="U97" si="156">D97+I97+M97+Q97</f>
        <v>52.9</v>
      </c>
      <c r="V97" s="284">
        <f t="shared" ref="V97" si="157">E97+J97+N97+R97</f>
        <v>323.40000000000003</v>
      </c>
      <c r="W97" s="73">
        <f t="shared" ref="W97" si="158">V97-V96</f>
        <v>0.59999999999996589</v>
      </c>
      <c r="X97" s="285">
        <f t="shared" ref="X97" si="159">AA96</f>
        <v>84.899999999999991</v>
      </c>
      <c r="Y97" s="286">
        <v>20.399999999999999</v>
      </c>
      <c r="Z97" s="286">
        <v>25.7</v>
      </c>
      <c r="AA97" s="286">
        <f t="shared" ref="AA97" si="160">X97+Y97-Z97</f>
        <v>79.59999999999998</v>
      </c>
      <c r="AB97" s="78">
        <f t="shared" ref="AB97" si="161">AA97-AA96</f>
        <v>-5.3000000000000114</v>
      </c>
      <c r="AC97" s="287">
        <v>2020</v>
      </c>
      <c r="AD97" s="97">
        <v>90</v>
      </c>
      <c r="AE97" s="97">
        <v>58</v>
      </c>
      <c r="AF97" s="155">
        <f t="shared" ref="AF97" si="162">AC97-AD97-F97-AE97</f>
        <v>-23</v>
      </c>
      <c r="AG97" s="160">
        <v>2148</v>
      </c>
      <c r="AH97" s="161">
        <v>2030</v>
      </c>
      <c r="AI97" s="169">
        <v>1930</v>
      </c>
      <c r="AJ97" s="281">
        <f t="shared" ref="AJ97" si="163">AM96</f>
        <v>13.999999999999991</v>
      </c>
      <c r="AK97" s="282"/>
      <c r="AL97" s="282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83">
        <v>5.6</v>
      </c>
      <c r="AP97" s="283">
        <v>7.2</v>
      </c>
      <c r="AQ97" s="147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40">
        <v>23.7</v>
      </c>
      <c r="I98" s="340">
        <v>18.3</v>
      </c>
      <c r="J98" s="341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42">
        <f t="shared" ref="T98:T99" si="175">C98+H98+L98+P98</f>
        <v>64</v>
      </c>
      <c r="U98" s="342">
        <f t="shared" ref="U98:U99" si="176">D98+I98+M98+Q98</f>
        <v>67.400000000000006</v>
      </c>
      <c r="V98" s="342">
        <f t="shared" ref="V98:V99" si="177">E98+J98+N98+R98</f>
        <v>320.00000000000006</v>
      </c>
      <c r="W98" s="73">
        <f t="shared" ref="W98:W99" si="178">V98-V97</f>
        <v>-3.3999999999999773</v>
      </c>
      <c r="X98" s="343">
        <f t="shared" ref="X98:X99" si="179">AA97</f>
        <v>79.59999999999998</v>
      </c>
      <c r="Y98" s="344">
        <v>39.1</v>
      </c>
      <c r="Z98" s="344">
        <v>29.5</v>
      </c>
      <c r="AA98" s="344">
        <f t="shared" ref="AA98:AA99" si="180">X98+Y98-Z98</f>
        <v>89.199999999999989</v>
      </c>
      <c r="AB98" s="78">
        <f t="shared" ref="AB98:AB99" si="181">AA98-AA97</f>
        <v>9.6000000000000085</v>
      </c>
      <c r="AC98" s="345">
        <v>2005</v>
      </c>
      <c r="AD98" s="97">
        <v>90</v>
      </c>
      <c r="AE98" s="97">
        <v>55</v>
      </c>
      <c r="AF98" s="155">
        <f t="shared" ref="AF98:AF99" si="182">AC98-AD98-F98-AE98</f>
        <v>-10</v>
      </c>
      <c r="AG98" s="160">
        <v>2193</v>
      </c>
      <c r="AH98" s="161">
        <v>2030</v>
      </c>
      <c r="AI98" s="169">
        <v>1950</v>
      </c>
      <c r="AJ98" s="338">
        <f t="shared" ref="AJ98:AJ99" si="183">AM97</f>
        <v>10.999999999999991</v>
      </c>
      <c r="AK98" s="339"/>
      <c r="AL98" s="339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40">
        <v>11.8</v>
      </c>
      <c r="AP98" s="340">
        <v>6.2</v>
      </c>
      <c r="AQ98" s="147">
        <f t="shared" ref="AQ98:AQ99" si="186">AN98+AO98-AP98</f>
        <v>21.500000000000011</v>
      </c>
    </row>
    <row r="99" spans="1:43" s="359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362">
        <v>26.3</v>
      </c>
      <c r="I99" s="362">
        <v>22.3</v>
      </c>
      <c r="J99" s="363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364">
        <f t="shared" si="175"/>
        <v>80.2</v>
      </c>
      <c r="U99" s="364">
        <f t="shared" si="176"/>
        <v>72.100000000000009</v>
      </c>
      <c r="V99" s="364">
        <f t="shared" si="177"/>
        <v>328.1</v>
      </c>
      <c r="W99" s="73">
        <f t="shared" si="178"/>
        <v>8.0999999999999659</v>
      </c>
      <c r="X99" s="365">
        <f t="shared" si="179"/>
        <v>89.199999999999989</v>
      </c>
      <c r="Y99" s="366">
        <v>5.9</v>
      </c>
      <c r="Z99" s="366">
        <v>25.2</v>
      </c>
      <c r="AA99" s="366">
        <f t="shared" si="180"/>
        <v>69.899999999999991</v>
      </c>
      <c r="AB99" s="78">
        <f t="shared" si="181"/>
        <v>-19.299999999999997</v>
      </c>
      <c r="AC99" s="367">
        <v>2000</v>
      </c>
      <c r="AD99" s="97">
        <v>90</v>
      </c>
      <c r="AE99" s="97">
        <v>52</v>
      </c>
      <c r="AF99" s="155">
        <f t="shared" si="182"/>
        <v>-22</v>
      </c>
      <c r="AG99" s="160">
        <v>2199</v>
      </c>
      <c r="AH99" s="161"/>
      <c r="AI99" s="169">
        <v>1950</v>
      </c>
      <c r="AJ99" s="360">
        <f t="shared" si="183"/>
        <v>7.0999999999999908</v>
      </c>
      <c r="AK99" s="361">
        <v>5.0999999999999996</v>
      </c>
      <c r="AL99" s="361">
        <v>3.8</v>
      </c>
      <c r="AM99" s="103">
        <f t="shared" si="184"/>
        <v>8.3999999999999915</v>
      </c>
      <c r="AN99" s="131">
        <f t="shared" si="185"/>
        <v>21.500000000000011</v>
      </c>
      <c r="AO99" s="362">
        <v>12.1</v>
      </c>
      <c r="AP99" s="362">
        <v>4.3</v>
      </c>
      <c r="AQ99" s="147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382">
        <v>22</v>
      </c>
      <c r="I100" s="382">
        <v>23</v>
      </c>
      <c r="J100" s="383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373">
        <f t="shared" ref="T100" si="196">C100+H100+L100+P100</f>
        <v>67.2</v>
      </c>
      <c r="U100" s="373">
        <f t="shared" ref="U100" si="197">D100+I100+M100+Q100</f>
        <v>62</v>
      </c>
      <c r="V100" s="373">
        <f t="shared" ref="V100" si="198">E100+J100+N100+R100</f>
        <v>333.29999999999995</v>
      </c>
      <c r="W100" s="73">
        <f t="shared" ref="W100" si="199">V100-V99</f>
        <v>5.1999999999999318</v>
      </c>
      <c r="X100" s="374">
        <f t="shared" ref="X100" si="200">AA99</f>
        <v>69.899999999999991</v>
      </c>
      <c r="Y100" s="375">
        <v>43.8</v>
      </c>
      <c r="Z100" s="375">
        <v>29.5</v>
      </c>
      <c r="AA100" s="375">
        <f t="shared" ref="AA100" si="201">X100+Y100-Z100</f>
        <v>84.199999999999989</v>
      </c>
      <c r="AB100" s="78">
        <f t="shared" ref="AB100" si="202">AA100-AA99</f>
        <v>14.299999999999997</v>
      </c>
      <c r="AC100" s="376">
        <v>1970</v>
      </c>
      <c r="AD100" s="97">
        <v>90</v>
      </c>
      <c r="AE100" s="97">
        <v>52</v>
      </c>
      <c r="AF100" s="155">
        <f t="shared" ref="AF100" si="203">AC100-AD100-F100-AE100</f>
        <v>-12</v>
      </c>
      <c r="AG100" s="160">
        <v>2171</v>
      </c>
      <c r="AI100" s="169">
        <v>1920</v>
      </c>
      <c r="AJ100" s="370">
        <f t="shared" ref="AJ100" si="204">AM99</f>
        <v>8.3999999999999915</v>
      </c>
      <c r="AK100" s="371">
        <v>8.6999999999999993</v>
      </c>
      <c r="AL100" s="371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372"/>
      <c r="AP100" s="372">
        <v>10</v>
      </c>
      <c r="AQ100" s="147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398">
        <v>17.5</v>
      </c>
      <c r="I101" s="398">
        <v>14</v>
      </c>
      <c r="J101" s="399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392">
        <f t="shared" ref="T101" si="217">C101+H101+L101+P101</f>
        <v>61.8</v>
      </c>
      <c r="U101" s="392">
        <f t="shared" ref="U101" si="218">D101+I101+M101+Q101</f>
        <v>47.9</v>
      </c>
      <c r="V101" s="392">
        <f t="shared" ref="V101" si="219">E101+J101+N101+R101</f>
        <v>347.2</v>
      </c>
      <c r="W101" s="73">
        <f t="shared" ref="W101" si="220">V101-V100</f>
        <v>13.900000000000034</v>
      </c>
      <c r="X101" s="393">
        <f t="shared" ref="X101" si="221">AA100</f>
        <v>84.199999999999989</v>
      </c>
      <c r="Y101" s="394">
        <v>21</v>
      </c>
      <c r="Z101" s="394">
        <v>28.8</v>
      </c>
      <c r="AA101" s="394">
        <f t="shared" ref="AA101" si="222">X101+Y101-Z101</f>
        <v>76.399999999999991</v>
      </c>
      <c r="AB101" s="78">
        <f t="shared" ref="AB101" si="223">AA101-AA100</f>
        <v>-7.7999999999999972</v>
      </c>
      <c r="AC101" s="395">
        <v>1980</v>
      </c>
      <c r="AD101" s="97">
        <v>90</v>
      </c>
      <c r="AE101" s="97">
        <v>52</v>
      </c>
      <c r="AF101" s="155">
        <f t="shared" ref="AF101" si="224">AC101-AD101-F101-AE101</f>
        <v>8</v>
      </c>
      <c r="AG101" s="160">
        <v>2146</v>
      </c>
      <c r="AI101" s="169">
        <v>1900</v>
      </c>
      <c r="AJ101" s="389">
        <f t="shared" ref="AJ101" si="225">AM100</f>
        <v>13.099999999999991</v>
      </c>
      <c r="AK101" s="390">
        <v>4.3</v>
      </c>
      <c r="AL101" s="390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391">
        <v>5.0999999999999996</v>
      </c>
      <c r="AP101" s="391">
        <v>6.2</v>
      </c>
      <c r="AQ101" s="147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06">
        <v>17.5</v>
      </c>
      <c r="I102" s="406">
        <f>26.5+17.5</f>
        <v>44</v>
      </c>
      <c r="J102" s="407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00">
        <f t="shared" ref="T102" si="238">C102+H102+L102+P102</f>
        <v>68.8</v>
      </c>
      <c r="U102" s="400">
        <f t="shared" ref="U102" si="239">D102+I102+M102+Q102</f>
        <v>78.3</v>
      </c>
      <c r="V102" s="400">
        <f t="shared" ref="V102" si="240">E102+J102+N102+R102</f>
        <v>337.70000000000005</v>
      </c>
      <c r="W102" s="73">
        <f t="shared" ref="W102" si="241">V102-V101</f>
        <v>-9.4999999999999432</v>
      </c>
      <c r="X102" s="401">
        <f t="shared" ref="X102" si="242">AA101</f>
        <v>76.399999999999991</v>
      </c>
      <c r="Y102" s="402">
        <v>33.299999999999997</v>
      </c>
      <c r="Z102" s="402">
        <v>28.2</v>
      </c>
      <c r="AA102" s="402">
        <f t="shared" ref="AA102" si="243">X102+Y102-Z102</f>
        <v>81.499999999999986</v>
      </c>
      <c r="AB102" s="78">
        <f t="shared" ref="AB102" si="244">AA102-AA101</f>
        <v>5.0999999999999943</v>
      </c>
      <c r="AC102" s="403">
        <v>1990</v>
      </c>
      <c r="AD102" s="97">
        <v>90</v>
      </c>
      <c r="AE102" s="97">
        <v>52</v>
      </c>
      <c r="AF102" s="155">
        <f t="shared" ref="AF102" si="245">AC102-AD102-F102-AE102</f>
        <v>-2</v>
      </c>
      <c r="AG102" s="160">
        <v>2183</v>
      </c>
      <c r="AI102" s="161">
        <v>1890</v>
      </c>
      <c r="AJ102" s="396">
        <f t="shared" ref="AJ102" si="246">AM101</f>
        <v>11.999999999999991</v>
      </c>
      <c r="AK102" s="397">
        <v>5.0999999999999996</v>
      </c>
      <c r="AL102" s="397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398">
        <v>6.4</v>
      </c>
      <c r="AP102" s="398">
        <v>5.4</v>
      </c>
      <c r="AQ102" s="147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06">
        <v>20</v>
      </c>
      <c r="I103" s="406">
        <v>20</v>
      </c>
      <c r="J103" s="407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08">
        <f t="shared" ref="T103" si="251">C103+H103+L103+P103</f>
        <v>83.2</v>
      </c>
      <c r="U103" s="408">
        <f t="shared" ref="U103" si="252">D103+I103+M103+Q103</f>
        <v>75.3</v>
      </c>
      <c r="V103" s="408">
        <f t="shared" ref="V103" si="253">E103+J103+N103+R103</f>
        <v>345.59999999999997</v>
      </c>
      <c r="W103" s="73">
        <f t="shared" ref="W103" si="254">V103-V102</f>
        <v>7.8999999999999204</v>
      </c>
      <c r="X103" s="409">
        <f t="shared" ref="X103" si="255">AA102</f>
        <v>81.499999999999986</v>
      </c>
      <c r="Y103" s="410">
        <v>9.6999999999999993</v>
      </c>
      <c r="Z103" s="410">
        <v>30.1</v>
      </c>
      <c r="AA103" s="410">
        <f t="shared" ref="AA103" si="256">X103+Y103-Z103</f>
        <v>61.099999999999987</v>
      </c>
      <c r="AB103" s="78">
        <f t="shared" ref="AB103" si="257">AA103-AA102</f>
        <v>-20.399999999999999</v>
      </c>
      <c r="AC103" s="411">
        <v>1985</v>
      </c>
      <c r="AD103" s="97">
        <v>90</v>
      </c>
      <c r="AE103" s="97">
        <v>49</v>
      </c>
      <c r="AF103" s="155">
        <f t="shared" ref="AF103" si="258">AC103-AD103-F103-AE103</f>
        <v>16</v>
      </c>
      <c r="AG103" s="160">
        <v>2149</v>
      </c>
      <c r="AI103" s="161">
        <v>1890</v>
      </c>
      <c r="AJ103" s="404">
        <f t="shared" ref="AJ103" si="259">AM102</f>
        <v>12.79999999999999</v>
      </c>
      <c r="AK103" s="405">
        <v>4.9000000000000004</v>
      </c>
      <c r="AL103" s="405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06">
        <v>9.8000000000000007</v>
      </c>
      <c r="AP103" s="406">
        <v>9.1999999999999993</v>
      </c>
      <c r="AQ103" s="147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16">
        <v>26.6</v>
      </c>
      <c r="I104" s="416">
        <v>39.6</v>
      </c>
      <c r="J104" s="417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13">
        <f t="shared" ref="T104" si="272">C104+H104+L104+P104</f>
        <v>64.7</v>
      </c>
      <c r="U104" s="413">
        <f t="shared" ref="U104" si="273">D104+I104+M104+Q104</f>
        <v>82.899999999999991</v>
      </c>
      <c r="V104" s="413">
        <f t="shared" ref="V104" si="274">E104+J104+N104+R104</f>
        <v>327.40000000000003</v>
      </c>
      <c r="W104" s="73">
        <f t="shared" ref="W104" si="275">V104-V103</f>
        <v>-18.199999999999932</v>
      </c>
      <c r="X104" s="418">
        <f t="shared" ref="X104" si="276">AA103</f>
        <v>61.099999999999987</v>
      </c>
      <c r="Y104" s="419">
        <v>29.9</v>
      </c>
      <c r="Z104" s="419">
        <v>36.200000000000003</v>
      </c>
      <c r="AA104" s="419">
        <f t="shared" ref="AA104" si="277">X104+Y104-Z104</f>
        <v>54.799999999999983</v>
      </c>
      <c r="AB104" s="78">
        <f t="shared" ref="AB104" si="278">AA104-AA103</f>
        <v>-6.3000000000000043</v>
      </c>
      <c r="AC104" s="420">
        <v>1970</v>
      </c>
      <c r="AD104" s="97">
        <v>90</v>
      </c>
      <c r="AE104" s="97">
        <v>49</v>
      </c>
      <c r="AF104" s="155">
        <f t="shared" ref="AF104" si="279">AC104-AD104-F104-AE104</f>
        <v>16</v>
      </c>
      <c r="AG104" s="160">
        <v>2156</v>
      </c>
      <c r="AI104" s="161">
        <v>1900</v>
      </c>
      <c r="AJ104" s="414">
        <f t="shared" ref="AJ104" si="280">AM103</f>
        <v>13.399999999999988</v>
      </c>
      <c r="AK104" s="415">
        <v>2.2000000000000002</v>
      </c>
      <c r="AL104" s="415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16"/>
      <c r="AP104" s="416">
        <v>10.1</v>
      </c>
      <c r="AQ104" s="147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27">
        <v>19.3</v>
      </c>
      <c r="I105" s="427">
        <v>17.5</v>
      </c>
      <c r="J105" s="428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23">
        <f t="shared" ref="T105:T106" si="293">C105+H105+L105+P105</f>
        <v>65.2</v>
      </c>
      <c r="U105" s="423">
        <f t="shared" ref="U105:U106" si="294">D105+I105+M105+Q105</f>
        <v>66.100000000000009</v>
      </c>
      <c r="V105" s="423">
        <f t="shared" ref="V105" si="295">E105+J105+N105+R105</f>
        <v>326.5</v>
      </c>
      <c r="W105" s="73">
        <f t="shared" ref="W105" si="296">V105-V104</f>
        <v>-0.90000000000003411</v>
      </c>
      <c r="X105" s="424">
        <f t="shared" ref="X105" si="297">AA104</f>
        <v>54.799999999999983</v>
      </c>
      <c r="Y105" s="425">
        <v>40.5</v>
      </c>
      <c r="Z105" s="425">
        <v>45.3</v>
      </c>
      <c r="AA105" s="425">
        <f t="shared" ref="AA105:AA106" si="298">X105+Y105-Z105</f>
        <v>49.999999999999986</v>
      </c>
      <c r="AB105" s="78">
        <f t="shared" ref="AB105" si="299">AA105-AA104</f>
        <v>-4.7999999999999972</v>
      </c>
      <c r="AC105" s="426">
        <v>1970</v>
      </c>
      <c r="AD105" s="97">
        <v>90</v>
      </c>
      <c r="AE105" s="97">
        <v>40</v>
      </c>
      <c r="AF105" s="155">
        <f t="shared" ref="AF105" si="300">AC105-AD105-F105-AE105</f>
        <v>20</v>
      </c>
      <c r="AG105" s="160">
        <v>2153</v>
      </c>
      <c r="AI105" s="161">
        <v>1915</v>
      </c>
      <c r="AJ105" s="429">
        <f t="shared" ref="AJ105" si="301">AM104</f>
        <v>10.599999999999987</v>
      </c>
      <c r="AK105" s="430">
        <v>10</v>
      </c>
      <c r="AL105" s="430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22">
        <v>10.4</v>
      </c>
      <c r="AP105" s="422">
        <v>5.7</v>
      </c>
      <c r="AQ105" s="147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36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37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38">
        <f t="shared" si="298"/>
        <v>89.699999999999989</v>
      </c>
      <c r="AB106" s="78">
        <f t="shared" ref="AB106" si="308">AA106-AA105</f>
        <v>39.700000000000003</v>
      </c>
      <c r="AC106" s="439">
        <v>1970</v>
      </c>
      <c r="AD106" s="97">
        <v>90</v>
      </c>
      <c r="AE106" s="97">
        <v>40</v>
      </c>
      <c r="AF106" s="155">
        <f t="shared" ref="AF106" si="309">AC106-AD106-F106-AE106</f>
        <v>20</v>
      </c>
      <c r="AG106" s="160">
        <v>2120</v>
      </c>
      <c r="AI106" s="161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45">
        <f t="shared" ref="AN106:AN111" si="311">AQ105</f>
        <v>14.400000000000013</v>
      </c>
      <c r="AO106" s="33">
        <v>6.2</v>
      </c>
      <c r="AP106" s="33">
        <v>4.8</v>
      </c>
      <c r="AQ106" s="147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46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47">
        <f t="shared" ref="T107" si="318">C107+H107+L107+P107</f>
        <v>55.300000000000004</v>
      </c>
      <c r="U107" s="447">
        <f t="shared" ref="U107" si="319">D107+I107+M107+Q107</f>
        <v>48.099999999999994</v>
      </c>
      <c r="V107" s="447">
        <f t="shared" ref="V107" si="320">E107+J107+N107+R107</f>
        <v>343.7</v>
      </c>
      <c r="W107" s="73">
        <f t="shared" ref="W107" si="321">V107-V106</f>
        <v>7.1999999999999886</v>
      </c>
      <c r="X107" s="442">
        <f t="shared" ref="X107:X112" si="322">AA106</f>
        <v>89.699999999999989</v>
      </c>
      <c r="Y107" s="443">
        <v>22</v>
      </c>
      <c r="Z107" s="443">
        <v>9.6</v>
      </c>
      <c r="AA107" s="443">
        <f t="shared" ref="AA107" si="323">X107+Y107-Z107</f>
        <v>102.1</v>
      </c>
      <c r="AB107" s="78">
        <f t="shared" ref="AB107" si="324">AA107-AA106</f>
        <v>12.400000000000006</v>
      </c>
      <c r="AC107" s="444">
        <v>1960</v>
      </c>
      <c r="AD107" s="97">
        <v>90</v>
      </c>
      <c r="AE107" s="97">
        <v>40</v>
      </c>
      <c r="AF107" s="155">
        <f t="shared" ref="AF107" si="325">AC107-AD107-F107-AE107</f>
        <v>30</v>
      </c>
      <c r="AG107" s="160">
        <v>2125</v>
      </c>
      <c r="AI107" s="161">
        <v>1915</v>
      </c>
      <c r="AJ107" s="29">
        <f t="shared" si="310"/>
        <v>14.499999999999986</v>
      </c>
      <c r="AK107" s="440">
        <v>0</v>
      </c>
      <c r="AL107" s="440">
        <v>0.6</v>
      </c>
      <c r="AM107" s="103">
        <f t="shared" ref="AM107" si="326">AJ107+AK107-AL107</f>
        <v>13.899999999999986</v>
      </c>
      <c r="AN107" s="445">
        <f t="shared" si="311"/>
        <v>15.800000000000011</v>
      </c>
      <c r="AO107" s="441">
        <v>10.4</v>
      </c>
      <c r="AP107" s="441">
        <v>5</v>
      </c>
      <c r="AQ107" s="147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454">
        <f t="shared" si="314"/>
        <v>118.99999999999999</v>
      </c>
      <c r="H108" s="455">
        <v>25.4</v>
      </c>
      <c r="I108" s="455">
        <v>17.399999999999999</v>
      </c>
      <c r="J108" s="456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457">
        <f t="shared" ref="T108" si="333">C108+H108+L108+P108</f>
        <v>54.400000000000006</v>
      </c>
      <c r="U108" s="457">
        <f t="shared" ref="U108" si="334">D108+I108+M108+Q108</f>
        <v>37.299999999999997</v>
      </c>
      <c r="V108" s="457">
        <f t="shared" ref="V108" si="335">E108+J108+N108+R108</f>
        <v>360.79999999999995</v>
      </c>
      <c r="W108" s="73">
        <f t="shared" ref="W108" si="336">V108-V107</f>
        <v>17.099999999999966</v>
      </c>
      <c r="X108" s="451">
        <f t="shared" si="322"/>
        <v>102.1</v>
      </c>
      <c r="Y108" s="452">
        <v>25</v>
      </c>
      <c r="Z108" s="452">
        <v>22.9</v>
      </c>
      <c r="AA108" s="452">
        <f t="shared" ref="AA108" si="337">X108+Y108-Z108</f>
        <v>104.19999999999999</v>
      </c>
      <c r="AB108" s="78">
        <f t="shared" ref="AB108" si="338">AA108-AA107</f>
        <v>2.0999999999999943</v>
      </c>
      <c r="AC108" s="453">
        <v>1920</v>
      </c>
      <c r="AD108" s="97">
        <v>90</v>
      </c>
      <c r="AE108" s="97">
        <v>40</v>
      </c>
      <c r="AF108" s="155">
        <f t="shared" ref="AF108" si="339">AC108-AD108-F108-AE108</f>
        <v>10</v>
      </c>
      <c r="AG108" s="160">
        <v>2114</v>
      </c>
      <c r="AI108" s="161">
        <v>1915</v>
      </c>
      <c r="AJ108" s="448">
        <f t="shared" si="310"/>
        <v>13.899999999999986</v>
      </c>
      <c r="AK108" s="449">
        <v>5.2</v>
      </c>
      <c r="AL108" s="449">
        <v>4.5999999999999996</v>
      </c>
      <c r="AM108" s="103">
        <f t="shared" ref="AM108" si="340">AJ108+AK108-AL108</f>
        <v>14.499999999999988</v>
      </c>
      <c r="AN108" s="445">
        <f t="shared" si="311"/>
        <v>21.20000000000001</v>
      </c>
      <c r="AO108" s="450">
        <v>17.5</v>
      </c>
      <c r="AP108" s="450">
        <v>8.4</v>
      </c>
      <c r="AQ108" s="147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465">
        <f t="shared" si="314"/>
        <v>126.99999999999997</v>
      </c>
      <c r="H109" s="466">
        <v>23.7</v>
      </c>
      <c r="I109" s="466">
        <v>15.7</v>
      </c>
      <c r="J109" s="467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461">
        <f t="shared" ref="T109" si="347">C109+H109+L109+P109</f>
        <v>64.5</v>
      </c>
      <c r="U109" s="461">
        <f t="shared" ref="U109" si="348">D109+I109+M109+Q109</f>
        <v>41.4</v>
      </c>
      <c r="V109" s="461">
        <f t="shared" ref="V109" si="349">E109+J109+N109+R109</f>
        <v>383.90000000000009</v>
      </c>
      <c r="W109" s="73">
        <f t="shared" ref="W109" si="350">V109-V108</f>
        <v>23.100000000000136</v>
      </c>
      <c r="X109" s="462">
        <f t="shared" si="322"/>
        <v>104.19999999999999</v>
      </c>
      <c r="Y109" s="463">
        <v>23.8</v>
      </c>
      <c r="Z109" s="463">
        <v>21.5</v>
      </c>
      <c r="AA109" s="463">
        <f t="shared" ref="AA109" si="351">X109+Y109-Z109</f>
        <v>106.49999999999999</v>
      </c>
      <c r="AB109" s="78">
        <f t="shared" ref="AB109" si="352">AA109-AA108</f>
        <v>2.2999999999999972</v>
      </c>
      <c r="AC109" s="464">
        <v>1870</v>
      </c>
      <c r="AD109" s="97">
        <v>90</v>
      </c>
      <c r="AE109" s="97">
        <v>38</v>
      </c>
      <c r="AF109" s="155">
        <f t="shared" ref="AF109" si="353">AC109-AD109-F109-AE109</f>
        <v>2</v>
      </c>
      <c r="AG109" s="160">
        <v>2066</v>
      </c>
      <c r="AH109" s="161">
        <v>2160</v>
      </c>
      <c r="AI109" s="161">
        <v>1915</v>
      </c>
      <c r="AJ109" s="458">
        <f t="shared" si="310"/>
        <v>14.499999999999988</v>
      </c>
      <c r="AK109" s="459">
        <v>4.8</v>
      </c>
      <c r="AL109" s="459">
        <v>2.6</v>
      </c>
      <c r="AM109" s="103">
        <f t="shared" ref="AM109" si="354">AJ109+AK109-AL109</f>
        <v>16.699999999999985</v>
      </c>
      <c r="AN109" s="445">
        <f t="shared" si="311"/>
        <v>30.300000000000011</v>
      </c>
      <c r="AO109" s="460">
        <v>4.9000000000000004</v>
      </c>
      <c r="AP109" s="460">
        <v>8.1</v>
      </c>
      <c r="AQ109" s="147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471">
        <f t="shared" si="314"/>
        <v>134.99999999999997</v>
      </c>
      <c r="H110" s="472">
        <v>19.600000000000001</v>
      </c>
      <c r="I110" s="472">
        <v>8</v>
      </c>
      <c r="J110" s="473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474">
        <f t="shared" ref="T110" si="361">C110+H110+L110+P110</f>
        <v>72.2</v>
      </c>
      <c r="U110" s="474">
        <f t="shared" ref="U110" si="362">D110+I110+M110+Q110</f>
        <v>36.199999999999996</v>
      </c>
      <c r="V110" s="474">
        <f t="shared" ref="V110" si="363">E110+J110+N110+R110</f>
        <v>419.90000000000009</v>
      </c>
      <c r="W110" s="73">
        <f t="shared" ref="W110" si="364">V110-V109</f>
        <v>36</v>
      </c>
      <c r="X110" s="475">
        <f t="shared" si="322"/>
        <v>106.49999999999999</v>
      </c>
      <c r="Y110" s="476">
        <v>8.3000000000000007</v>
      </c>
      <c r="Z110" s="476">
        <v>15.2</v>
      </c>
      <c r="AA110" s="476">
        <f t="shared" ref="AA110" si="365">X110+Y110-Z110</f>
        <v>99.59999999999998</v>
      </c>
      <c r="AB110" s="78">
        <f t="shared" ref="AB110" si="366">AA110-AA109</f>
        <v>-6.9000000000000057</v>
      </c>
      <c r="AC110" s="477">
        <v>1870</v>
      </c>
      <c r="AD110" s="97">
        <v>90</v>
      </c>
      <c r="AE110" s="97">
        <v>39</v>
      </c>
      <c r="AF110" s="155">
        <f t="shared" ref="AF110" si="367">AC110-AD110-F110-AE110</f>
        <v>1</v>
      </c>
      <c r="AG110" s="160">
        <v>2036</v>
      </c>
      <c r="AH110" s="161">
        <v>2071</v>
      </c>
      <c r="AI110" s="161">
        <v>1915</v>
      </c>
      <c r="AJ110" s="469">
        <f t="shared" si="310"/>
        <v>16.699999999999985</v>
      </c>
      <c r="AK110" s="470"/>
      <c r="AL110" s="470">
        <v>4.7</v>
      </c>
      <c r="AM110" s="103">
        <f t="shared" ref="AM110" si="368">AJ110+AK110-AL110</f>
        <v>11.999999999999986</v>
      </c>
      <c r="AN110" s="445">
        <f t="shared" si="311"/>
        <v>27.100000000000009</v>
      </c>
      <c r="AO110" s="472"/>
      <c r="AP110" s="472">
        <v>7.5</v>
      </c>
      <c r="AQ110" s="147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478">
        <f t="shared" si="314"/>
        <v>146.59999999999997</v>
      </c>
      <c r="H111" s="479">
        <v>23.4</v>
      </c>
      <c r="I111" s="479">
        <v>20</v>
      </c>
      <c r="J111" s="480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481">
        <f t="shared" ref="T111" si="375">C111+H111+L111+P111</f>
        <v>72.199999999999989</v>
      </c>
      <c r="U111" s="481">
        <f t="shared" ref="U111" si="376">D111+I111+M111+Q111</f>
        <v>51.800000000000004</v>
      </c>
      <c r="V111" s="481">
        <f t="shared" ref="V111" si="377">E111+J111+N111+R111</f>
        <v>440.3</v>
      </c>
      <c r="W111" s="73">
        <f t="shared" ref="W111" si="378">V111-V110</f>
        <v>20.39999999999992</v>
      </c>
      <c r="X111" s="485">
        <f t="shared" si="322"/>
        <v>99.59999999999998</v>
      </c>
      <c r="Y111" s="486">
        <v>31.7</v>
      </c>
      <c r="Z111" s="486">
        <v>26.4</v>
      </c>
      <c r="AA111" s="486">
        <f t="shared" ref="AA111" si="379">X111+Y111-Z111</f>
        <v>104.89999999999998</v>
      </c>
      <c r="AB111" s="78">
        <f t="shared" ref="AB111" si="380">AA111-AA110</f>
        <v>5.2999999999999972</v>
      </c>
      <c r="AC111" s="487">
        <v>1880</v>
      </c>
      <c r="AD111" s="97">
        <v>90</v>
      </c>
      <c r="AE111" s="97">
        <v>39</v>
      </c>
      <c r="AF111" s="155">
        <f t="shared" ref="AF111" si="381">AC111-AD111-F111-AE111</f>
        <v>1</v>
      </c>
      <c r="AG111" s="160">
        <v>2046</v>
      </c>
      <c r="AH111" s="161">
        <v>2163</v>
      </c>
      <c r="AJ111" s="482">
        <f t="shared" si="310"/>
        <v>11.999999999999986</v>
      </c>
      <c r="AK111" s="483"/>
      <c r="AL111" s="483">
        <v>3</v>
      </c>
      <c r="AM111" s="103">
        <f t="shared" ref="AM111" si="382">AJ111+AK111-AL111</f>
        <v>8.9999999999999858</v>
      </c>
      <c r="AN111" s="445">
        <f t="shared" si="311"/>
        <v>19.600000000000009</v>
      </c>
      <c r="AO111" s="484">
        <v>10.8</v>
      </c>
      <c r="AP111" s="484">
        <v>7.3</v>
      </c>
      <c r="AQ111" s="147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493">
        <f>J111+19.9</f>
        <v>169.89999999999998</v>
      </c>
      <c r="H112" s="494">
        <v>21.1</v>
      </c>
      <c r="I112" s="494">
        <v>21</v>
      </c>
      <c r="J112" s="495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496">
        <f t="shared" ref="T112" si="389">C112+H112+L112+P112</f>
        <v>52.8</v>
      </c>
      <c r="U112" s="496">
        <f t="shared" ref="U112" si="390">D112+I112+M112+Q112</f>
        <v>48.6</v>
      </c>
      <c r="V112" s="496">
        <f t="shared" ref="V112" si="391">E112+J112+N112+R112</f>
        <v>477.6</v>
      </c>
      <c r="W112" s="73">
        <f t="shared" ref="W112" si="392">V112-V111</f>
        <v>37.300000000000011</v>
      </c>
      <c r="X112" s="497">
        <f t="shared" si="322"/>
        <v>104.89999999999998</v>
      </c>
      <c r="Y112" s="498">
        <v>16.100000000000001</v>
      </c>
      <c r="Z112" s="498">
        <v>24.4</v>
      </c>
      <c r="AA112" s="498">
        <f>X112+Y112-Z112-3</f>
        <v>93.599999999999966</v>
      </c>
      <c r="AB112" s="78">
        <f t="shared" ref="AB112" si="393">AA112-AA111</f>
        <v>-11.300000000000011</v>
      </c>
      <c r="AC112" s="499">
        <v>1880</v>
      </c>
      <c r="AD112" s="97">
        <v>90</v>
      </c>
      <c r="AE112" s="97">
        <v>40</v>
      </c>
      <c r="AF112" s="155">
        <f t="shared" ref="AF112" si="394">AC112-AD112-F112-AE112</f>
        <v>-5</v>
      </c>
      <c r="AG112" s="160">
        <v>2046</v>
      </c>
      <c r="AH112" s="161">
        <v>2157</v>
      </c>
      <c r="AJ112" s="491">
        <f t="shared" ref="AJ112" si="395">AM111</f>
        <v>8.9999999999999858</v>
      </c>
      <c r="AK112" s="492"/>
      <c r="AL112" s="492">
        <v>3.3</v>
      </c>
      <c r="AM112" s="103">
        <f t="shared" ref="AM112" si="396">AJ112+AK112-AL112</f>
        <v>5.699999999999986</v>
      </c>
      <c r="AN112" s="445">
        <f t="shared" ref="AN112" si="397">AQ111</f>
        <v>23.100000000000009</v>
      </c>
      <c r="AO112" s="494">
        <v>10</v>
      </c>
      <c r="AP112" s="494">
        <v>7.3</v>
      </c>
      <c r="AQ112" s="147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08">
        <f t="shared" ref="G113" si="401">J112</f>
        <v>169.99999999999997</v>
      </c>
      <c r="H113" s="509">
        <v>22.4</v>
      </c>
      <c r="I113" s="509">
        <v>19.399999999999999</v>
      </c>
      <c r="J113" s="510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04">
        <f t="shared" ref="T113" si="408">C113+H113+L113+P113</f>
        <v>67.400000000000006</v>
      </c>
      <c r="U113" s="504">
        <f t="shared" ref="U113" si="409">D113+I113+M113+Q113</f>
        <v>61.8</v>
      </c>
      <c r="V113" s="504">
        <f t="shared" ref="V113" si="410">E113+J113+N113+R113</f>
        <v>483.20000000000005</v>
      </c>
      <c r="W113" s="73">
        <f t="shared" ref="W113" si="411">V113-V112</f>
        <v>5.6000000000000227</v>
      </c>
      <c r="X113" s="505">
        <f t="shared" ref="X113" si="412">AA112</f>
        <v>93.599999999999966</v>
      </c>
      <c r="Y113" s="506">
        <v>17.899999999999999</v>
      </c>
      <c r="Z113" s="506">
        <v>18.5</v>
      </c>
      <c r="AA113" s="506">
        <f t="shared" ref="AA113" si="413">X113+Y113-Z113</f>
        <v>92.999999999999972</v>
      </c>
      <c r="AB113" s="78">
        <f t="shared" ref="AB113" si="414">AA113-AA112</f>
        <v>-0.59999999999999432</v>
      </c>
      <c r="AC113" s="507">
        <v>1860</v>
      </c>
      <c r="AD113" s="97">
        <v>90</v>
      </c>
      <c r="AE113" s="97">
        <v>40</v>
      </c>
      <c r="AF113" s="155">
        <f t="shared" ref="AF113" si="415">AC113-AD113-F113-AE113</f>
        <v>-15</v>
      </c>
      <c r="AG113" s="160">
        <v>2046</v>
      </c>
      <c r="AH113" s="161">
        <v>2097</v>
      </c>
      <c r="AJ113" s="501">
        <f t="shared" ref="AJ113" si="416">AM112</f>
        <v>5.699999999999986</v>
      </c>
      <c r="AK113" s="502">
        <v>10</v>
      </c>
      <c r="AL113" s="502">
        <v>3.3</v>
      </c>
      <c r="AM113" s="103">
        <f t="shared" ref="AM113" si="417">AJ113+AK113-AL113</f>
        <v>12.399999999999984</v>
      </c>
      <c r="AN113" s="445">
        <f t="shared" ref="AN113" si="418">AQ112</f>
        <v>25.800000000000008</v>
      </c>
      <c r="AO113" s="503">
        <v>3.1</v>
      </c>
      <c r="AP113" s="503">
        <v>6.7</v>
      </c>
      <c r="AQ113" s="147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13">
        <f t="shared" ref="G114" si="422">J113</f>
        <v>172.99999999999997</v>
      </c>
      <c r="H114" s="514">
        <v>20</v>
      </c>
      <c r="I114" s="514">
        <v>25</v>
      </c>
      <c r="J114" s="515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16">
        <f t="shared" ref="T114" si="429">C114+H114+L114+P114</f>
        <v>46</v>
      </c>
      <c r="U114" s="516">
        <f t="shared" ref="U114" si="430">D114+I114+M114+Q114</f>
        <v>51.3</v>
      </c>
      <c r="V114" s="516">
        <f t="shared" ref="V114" si="431">E114+J114+N114+R114</f>
        <v>477.90000000000009</v>
      </c>
      <c r="W114" s="73">
        <f t="shared" ref="W114" si="432">V114-V113</f>
        <v>-5.2999999999999545</v>
      </c>
      <c r="X114" s="517">
        <f t="shared" ref="X114" si="433">AA113</f>
        <v>92.999999999999972</v>
      </c>
      <c r="Y114" s="518">
        <v>19.899999999999999</v>
      </c>
      <c r="Z114" s="518">
        <v>21.9</v>
      </c>
      <c r="AA114" s="518">
        <f t="shared" ref="AA114" si="434">X114+Y114-Z114</f>
        <v>90.999999999999972</v>
      </c>
      <c r="AB114" s="78">
        <f t="shared" ref="AB114" si="435">AA114-AA113</f>
        <v>-2</v>
      </c>
      <c r="AC114" s="519">
        <v>1850</v>
      </c>
      <c r="AD114" s="97">
        <v>90</v>
      </c>
      <c r="AE114" s="97">
        <v>41</v>
      </c>
      <c r="AF114" s="155">
        <f t="shared" ref="AF114" si="436">AC114-AD114-F114-AE114</f>
        <v>-26</v>
      </c>
      <c r="AG114" s="160">
        <v>2046</v>
      </c>
      <c r="AH114" s="161">
        <v>2069</v>
      </c>
      <c r="AJ114" s="511">
        <f t="shared" ref="AJ114" si="437">AM113</f>
        <v>12.399999999999984</v>
      </c>
      <c r="AK114" s="512">
        <v>5</v>
      </c>
      <c r="AL114" s="512">
        <v>3.4</v>
      </c>
      <c r="AM114" s="103">
        <f t="shared" ref="AM114" si="438">AJ114+AK114-AL114</f>
        <v>13.999999999999984</v>
      </c>
      <c r="AN114" s="445">
        <f t="shared" ref="AN114" si="439">AQ113</f>
        <v>22.20000000000001</v>
      </c>
      <c r="AO114" s="514">
        <v>3.1</v>
      </c>
      <c r="AP114" s="514">
        <v>7.3</v>
      </c>
      <c r="AQ114" s="147">
        <f t="shared" ref="AQ114" si="440">AN114+AO114-AP114</f>
        <v>18.000000000000011</v>
      </c>
    </row>
    <row r="115" spans="1:43">
      <c r="A115" s="128">
        <v>43567</v>
      </c>
      <c r="B115" s="119">
        <f t="shared" ref="B115" si="441">E114</f>
        <v>215.90000000000009</v>
      </c>
      <c r="C115" s="119">
        <v>21.7</v>
      </c>
      <c r="D115" s="119">
        <v>19.2</v>
      </c>
      <c r="E115" s="119">
        <f t="shared" ref="E115" si="442">B115+C115-D115</f>
        <v>218.40000000000009</v>
      </c>
      <c r="F115" s="120">
        <f>VLOOKUP(A115,价格!A:B,2,FALSE)</f>
        <v>1750</v>
      </c>
      <c r="G115" s="535">
        <f t="shared" ref="G115" si="443">J114</f>
        <v>167.99999999999997</v>
      </c>
      <c r="H115" s="536">
        <v>13.8</v>
      </c>
      <c r="I115" s="536">
        <v>11.8</v>
      </c>
      <c r="J115" s="537">
        <f t="shared" ref="J115" si="444">G115+H115-I115</f>
        <v>169.99999999999997</v>
      </c>
      <c r="K115" s="121">
        <f t="shared" ref="K115" si="445">N114</f>
        <v>71.000000000000014</v>
      </c>
      <c r="L115" s="122">
        <v>4.4000000000000004</v>
      </c>
      <c r="M115" s="122">
        <v>4.2</v>
      </c>
      <c r="N115" s="123">
        <f t="shared" ref="N115" si="446">K115+L115-M115</f>
        <v>71.200000000000017</v>
      </c>
      <c r="O115" s="124">
        <f t="shared" ref="O115" si="447">R114</f>
        <v>23</v>
      </c>
      <c r="Q115" s="125">
        <v>0.4</v>
      </c>
      <c r="R115" s="126">
        <f t="shared" ref="R115" si="448">O115+P115-Q115</f>
        <v>22.6</v>
      </c>
      <c r="S115" s="71">
        <f t="shared" ref="S115" si="449">B115+G115+K115+O115</f>
        <v>477.90000000000009</v>
      </c>
      <c r="T115" s="531">
        <f t="shared" ref="T115" si="450">C115+H115+L115+P115</f>
        <v>39.9</v>
      </c>
      <c r="U115" s="531">
        <f t="shared" ref="U115" si="451">D115+I115+M115+Q115</f>
        <v>35.6</v>
      </c>
      <c r="V115" s="531">
        <f t="shared" ref="V115" si="452">E115+J115+N115+R115</f>
        <v>482.20000000000016</v>
      </c>
      <c r="W115" s="73">
        <f t="shared" ref="W115" si="453">V115-V114</f>
        <v>4.3000000000000682</v>
      </c>
      <c r="X115" s="532">
        <f>AA114+2</f>
        <v>92.999999999999972</v>
      </c>
      <c r="Y115" s="533">
        <v>23.2</v>
      </c>
      <c r="Z115" s="533">
        <v>17.8</v>
      </c>
      <c r="AA115" s="533">
        <f t="shared" ref="AA115" si="454">X115+Y115-Z115</f>
        <v>98.399999999999977</v>
      </c>
      <c r="AB115" s="78">
        <f t="shared" ref="AB115" si="455">AA115-AA114</f>
        <v>7.4000000000000057</v>
      </c>
      <c r="AC115" s="564">
        <f>VLOOKUP(A115,价格!A:G,7,FALSE)</f>
        <v>1860</v>
      </c>
      <c r="AD115" s="97">
        <v>90</v>
      </c>
      <c r="AE115" s="97">
        <f>VLOOKUP(A115,价格!A:P,16,FALSE)</f>
        <v>44</v>
      </c>
      <c r="AF115" s="155">
        <f t="shared" ref="AF115:AF116" si="456">AC115-AD115-F115-AE115</f>
        <v>-24</v>
      </c>
      <c r="AG115" s="160">
        <v>2018</v>
      </c>
      <c r="AH115" s="161">
        <v>2071</v>
      </c>
      <c r="AJ115" s="538">
        <f t="shared" ref="AJ115" si="457">AM114</f>
        <v>13.999999999999984</v>
      </c>
      <c r="AK115" s="539">
        <v>4.9000000000000004</v>
      </c>
      <c r="AL115" s="539"/>
      <c r="AM115" s="103">
        <f t="shared" ref="AM115" si="458">AJ115+AK115-AL115</f>
        <v>18.899999999999984</v>
      </c>
      <c r="AN115" s="445">
        <f t="shared" ref="AN115:AN116" si="459">AQ114</f>
        <v>18.000000000000011</v>
      </c>
      <c r="AO115" s="530">
        <v>11.2</v>
      </c>
      <c r="AP115" s="530">
        <v>5.9</v>
      </c>
      <c r="AQ115" s="147">
        <f t="shared" ref="AQ115:AQ116" si="460">AN115+AO115-AP115</f>
        <v>23.300000000000011</v>
      </c>
    </row>
    <row r="116" spans="1:43">
      <c r="A116" s="128">
        <v>43574</v>
      </c>
      <c r="F116" s="120">
        <f>VLOOKUP(A116,价格!A:B,2,FALSE)</f>
        <v>1800</v>
      </c>
      <c r="S116" s="71">
        <f t="shared" ref="S116" si="461">B116+G116+K116+O116</f>
        <v>0</v>
      </c>
      <c r="T116" s="561">
        <f t="shared" ref="T116" si="462">C116+H116+L116+P116</f>
        <v>0</v>
      </c>
      <c r="U116" s="561">
        <f t="shared" ref="U116" si="463">D116+I116+M116+Q116</f>
        <v>0</v>
      </c>
      <c r="V116" s="561">
        <f t="shared" ref="V116" si="464">E116+J116+N116+R116</f>
        <v>0</v>
      </c>
      <c r="W116" s="73">
        <f t="shared" ref="W116" si="465">V116-V115</f>
        <v>-482.20000000000016</v>
      </c>
      <c r="X116" s="562">
        <f>AA115</f>
        <v>98.399999999999977</v>
      </c>
      <c r="Y116" s="563">
        <v>11.2</v>
      </c>
      <c r="Z116" s="563">
        <v>16.600000000000001</v>
      </c>
      <c r="AA116" s="563">
        <f t="shared" ref="AA116" si="466">X116+Y116-Z116</f>
        <v>92.999999999999972</v>
      </c>
      <c r="AB116" s="78">
        <f t="shared" ref="AB116" si="467">AA116-AA115</f>
        <v>-5.4000000000000057</v>
      </c>
      <c r="AC116" s="564">
        <f>VLOOKUP(A116,价格!A:G,7,FALSE)</f>
        <v>1910</v>
      </c>
      <c r="AD116" s="97">
        <v>90</v>
      </c>
      <c r="AE116" s="97">
        <f>VLOOKUP(A116,价格!A:P,16,FALSE)</f>
        <v>42</v>
      </c>
      <c r="AF116" s="155">
        <f t="shared" si="456"/>
        <v>-22</v>
      </c>
      <c r="AG116" s="160">
        <v>1989</v>
      </c>
      <c r="AH116" s="161">
        <v>2068</v>
      </c>
      <c r="AJ116" s="559">
        <f t="shared" ref="AJ116" si="468">AM115</f>
        <v>18.899999999999984</v>
      </c>
      <c r="AK116" s="560"/>
      <c r="AL116" s="560">
        <v>3.1</v>
      </c>
      <c r="AM116" s="103">
        <f t="shared" ref="AM116" si="469">AJ116+AK116-AL116</f>
        <v>15.799999999999985</v>
      </c>
      <c r="AN116" s="445">
        <f t="shared" si="459"/>
        <v>23.300000000000011</v>
      </c>
      <c r="AO116" s="530">
        <v>5.0999999999999996</v>
      </c>
      <c r="AP116" s="530">
        <v>7.1</v>
      </c>
      <c r="AQ116" s="147">
        <f t="shared" si="460"/>
        <v>21.300000000000011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4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Q94" sqref="A94:Q94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664" t="s">
        <v>30</v>
      </c>
      <c r="C1" s="665"/>
      <c r="D1" s="665"/>
      <c r="E1" s="666"/>
      <c r="F1" s="637" t="s">
        <v>26</v>
      </c>
      <c r="G1" s="638"/>
      <c r="H1" s="638"/>
      <c r="I1" s="638"/>
      <c r="J1" s="639"/>
      <c r="K1" s="667" t="s">
        <v>358</v>
      </c>
      <c r="L1" s="668"/>
      <c r="M1" s="669"/>
      <c r="N1" s="670" t="s">
        <v>27</v>
      </c>
      <c r="O1" s="671"/>
      <c r="P1" s="671"/>
      <c r="Q1" s="672"/>
      <c r="R1" s="635" t="s">
        <v>31</v>
      </c>
      <c r="S1" s="636"/>
      <c r="T1" s="636"/>
      <c r="U1" s="636"/>
      <c r="V1" s="636"/>
      <c r="W1" s="636"/>
      <c r="X1" s="636"/>
      <c r="Y1" s="636"/>
      <c r="Z1" s="636"/>
      <c r="AA1" s="636"/>
      <c r="AB1" s="636"/>
      <c r="AC1" s="636"/>
      <c r="AD1" s="636"/>
      <c r="AE1" s="636"/>
      <c r="AF1" s="636"/>
      <c r="AG1" s="636"/>
      <c r="AH1" s="636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47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131</v>
      </c>
      <c r="AH2" s="25" t="s">
        <v>46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26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26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26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26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26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26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26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26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26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26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26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26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26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26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26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26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26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26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26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26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26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26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  <row r="93" spans="1:17">
      <c r="A93" s="226">
        <v>43567</v>
      </c>
      <c r="B93" s="4">
        <v>77.3</v>
      </c>
      <c r="C93" s="5">
        <v>87.23</v>
      </c>
      <c r="D93" s="5">
        <v>78.81</v>
      </c>
      <c r="E93" s="6">
        <v>67.41</v>
      </c>
      <c r="F93" s="10">
        <v>-51</v>
      </c>
      <c r="G93" s="11">
        <v>19</v>
      </c>
      <c r="H93" s="11">
        <v>-28.6</v>
      </c>
      <c r="I93" s="11">
        <v>-27.2</v>
      </c>
      <c r="J93" s="12">
        <v>-51.6</v>
      </c>
      <c r="K93" s="16">
        <v>68.87</v>
      </c>
      <c r="L93" s="17">
        <v>83.99</v>
      </c>
      <c r="M93" s="18">
        <v>60.9</v>
      </c>
      <c r="N93" s="22">
        <v>51</v>
      </c>
      <c r="O93" s="23">
        <v>125</v>
      </c>
      <c r="P93" s="23">
        <v>59</v>
      </c>
      <c r="Q93" s="24">
        <v>-293</v>
      </c>
    </row>
    <row r="94" spans="1:17">
      <c r="A94" s="226">
        <v>43574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价格</vt:lpstr>
      <vt:lpstr>summarize</vt:lpstr>
      <vt:lpstr>Sheet1</vt:lpstr>
      <vt:lpstr>生猪存栏</vt:lpstr>
      <vt:lpstr>PigPrice</vt:lpstr>
      <vt:lpstr>summarize2</vt:lpstr>
      <vt:lpstr>salerate</vt:lpstr>
      <vt:lpstr>NSPort</vt:lpstr>
      <vt:lpstr>DeepProcessing</vt:lpstr>
      <vt:lpstr>饲料厂库存</vt:lpstr>
      <vt:lpstr>玉米进出口</vt:lpstr>
      <vt:lpstr>平衡表</vt:lpstr>
      <vt:lpstr>种植成本</vt:lpstr>
      <vt:lpstr>备忘录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2019-04-24T07:15:57Z</dcterms:modified>
</cp:coreProperties>
</file>