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20180828" sheetId="1" r:id="rId1"/>
    <sheet name="20180828b" sheetId="2" r:id="rId2"/>
    <sheet name="价格计算" sheetId="3" r:id="rId3"/>
    <sheet name="交割成本计算" sheetId="4" r:id="rId4"/>
    <sheet name="交割计算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L34" i="5" l="1"/>
  <c r="K34" i="5"/>
  <c r="L33" i="5"/>
  <c r="C9" i="5" l="1"/>
  <c r="D9" i="5" s="1"/>
  <c r="E9" i="5" s="1"/>
  <c r="F9" i="5" s="1"/>
  <c r="G9" i="5" s="1"/>
  <c r="B6" i="5" l="1"/>
  <c r="C5" i="5" s="1"/>
  <c r="B3" i="5" l="1"/>
  <c r="B34" i="5" s="1"/>
  <c r="C3" i="5"/>
  <c r="C34" i="5" s="1"/>
  <c r="C31" i="5"/>
  <c r="F8" i="6"/>
  <c r="F3" i="6"/>
  <c r="C32" i="5" l="1"/>
  <c r="C33" i="5" s="1"/>
  <c r="F11" i="6"/>
  <c r="D14" i="5" l="1"/>
  <c r="E14" i="5"/>
  <c r="F14" i="5"/>
  <c r="G14" i="5"/>
  <c r="H14" i="5"/>
  <c r="D15" i="5"/>
  <c r="E15" i="5"/>
  <c r="F15" i="5"/>
  <c r="F17" i="5" s="1"/>
  <c r="G15" i="5"/>
  <c r="H15" i="5"/>
  <c r="D23" i="5"/>
  <c r="E23" i="5"/>
  <c r="F23" i="5"/>
  <c r="G23" i="5"/>
  <c r="H23" i="5"/>
  <c r="H25" i="5"/>
  <c r="D25" i="5"/>
  <c r="E25" i="5"/>
  <c r="F25" i="5"/>
  <c r="G25" i="5"/>
  <c r="C25" i="5"/>
  <c r="C23" i="5"/>
  <c r="C15" i="5"/>
  <c r="C14" i="5"/>
  <c r="B5" i="5"/>
  <c r="D17" i="5" l="1"/>
  <c r="C35" i="5"/>
  <c r="C36" i="5" s="1"/>
  <c r="C37" i="5" s="1"/>
  <c r="C39" i="5" s="1"/>
  <c r="B35" i="5"/>
  <c r="B36" i="5" s="1"/>
  <c r="B32" i="5"/>
  <c r="C18" i="5"/>
  <c r="B31" i="5"/>
  <c r="H17" i="5"/>
  <c r="G17" i="5"/>
  <c r="E17" i="5"/>
  <c r="E19" i="5"/>
  <c r="H19" i="5"/>
  <c r="G19" i="5"/>
  <c r="D19" i="5"/>
  <c r="F19" i="5"/>
  <c r="C19" i="5"/>
  <c r="D18" i="5"/>
  <c r="E18" i="5"/>
  <c r="H18" i="5"/>
  <c r="G18" i="5"/>
  <c r="F18" i="5"/>
  <c r="C17" i="5"/>
  <c r="B33" i="5" l="1"/>
  <c r="G20" i="5"/>
  <c r="G21" i="5" s="1"/>
  <c r="G22" i="5" s="1"/>
  <c r="G24" i="5" s="1"/>
  <c r="H20" i="5"/>
  <c r="H21" i="5" s="1"/>
  <c r="H22" i="5" s="1"/>
  <c r="H24" i="5" s="1"/>
  <c r="D20" i="5"/>
  <c r="D21" i="5" s="1"/>
  <c r="D22" i="5" s="1"/>
  <c r="D24" i="5" s="1"/>
  <c r="F20" i="5"/>
  <c r="F21" i="5" s="1"/>
  <c r="F22" i="5" s="1"/>
  <c r="F24" i="5" s="1"/>
  <c r="E20" i="5"/>
  <c r="E21" i="5" s="1"/>
  <c r="E22" i="5" s="1"/>
  <c r="E24" i="5" s="1"/>
  <c r="C6" i="4"/>
  <c r="C9" i="4"/>
  <c r="B37" i="5" l="1"/>
  <c r="B39" i="5" s="1"/>
  <c r="C20" i="5"/>
  <c r="G9" i="4"/>
  <c r="G6" i="4"/>
  <c r="C21" i="5" l="1"/>
  <c r="C22" i="5" s="1"/>
  <c r="C24" i="5" s="1"/>
  <c r="F34" i="4"/>
  <c r="E9" i="4" l="1"/>
  <c r="E6" i="4"/>
  <c r="F6" i="4" l="1"/>
  <c r="F9" i="4"/>
  <c r="E34" i="4" l="1"/>
  <c r="C34" i="4"/>
  <c r="O11" i="4"/>
  <c r="N11" i="4"/>
  <c r="M11" i="4"/>
  <c r="L11" i="4"/>
  <c r="K11" i="4"/>
  <c r="O8" i="4"/>
  <c r="N8" i="4"/>
  <c r="M8" i="4"/>
  <c r="L8" i="4"/>
  <c r="K8" i="4"/>
  <c r="G11" i="4"/>
  <c r="F11" i="4"/>
  <c r="E11" i="4"/>
  <c r="D11" i="4"/>
  <c r="C11" i="4"/>
  <c r="G8" i="4"/>
  <c r="F8" i="4"/>
  <c r="E8" i="4"/>
  <c r="D8" i="4"/>
  <c r="C8" i="4"/>
  <c r="D34" i="4"/>
  <c r="D6" i="4" l="1"/>
  <c r="G51" i="4" l="1"/>
  <c r="F51" i="4"/>
  <c r="E51" i="4"/>
  <c r="D51" i="4"/>
  <c r="C51" i="4"/>
  <c r="G26" i="4"/>
  <c r="F26" i="4"/>
  <c r="E26" i="4"/>
  <c r="D26" i="4"/>
  <c r="C26" i="4"/>
  <c r="G38" i="4" l="1"/>
  <c r="F38" i="4"/>
  <c r="E38" i="4"/>
  <c r="D38" i="4"/>
  <c r="C38" i="4"/>
  <c r="G12" i="4"/>
  <c r="F12" i="4"/>
  <c r="E12" i="4"/>
  <c r="D12" i="4"/>
  <c r="C12" i="4"/>
  <c r="A2" i="4"/>
  <c r="A31" i="4"/>
  <c r="D1" i="4" l="1"/>
  <c r="D15" i="4" s="1"/>
  <c r="D41" i="4" l="1"/>
  <c r="G41" i="4"/>
  <c r="E42" i="4"/>
  <c r="F42" i="4"/>
  <c r="G42" i="4"/>
  <c r="E41" i="4"/>
  <c r="F41" i="4"/>
  <c r="D42" i="4"/>
  <c r="C42" i="4"/>
  <c r="C41" i="4"/>
  <c r="D16" i="4"/>
  <c r="E16" i="4"/>
  <c r="F16" i="4"/>
  <c r="G16" i="4"/>
  <c r="G15" i="4"/>
  <c r="C16" i="4"/>
  <c r="E15" i="4"/>
  <c r="F15" i="4"/>
  <c r="C15" i="4"/>
  <c r="L9" i="4"/>
  <c r="M9" i="4"/>
  <c r="N9" i="4"/>
  <c r="O9" i="4"/>
  <c r="K9" i="4"/>
  <c r="L6" i="4" l="1"/>
  <c r="M6" i="4"/>
  <c r="N6" i="4"/>
  <c r="O6" i="4"/>
  <c r="K6" i="4"/>
  <c r="O23" i="4"/>
  <c r="N23" i="4"/>
  <c r="M23" i="4"/>
  <c r="L23" i="4"/>
  <c r="K23" i="4"/>
  <c r="O16" i="4"/>
  <c r="N16" i="4"/>
  <c r="M16" i="4"/>
  <c r="L16" i="4"/>
  <c r="K16" i="4"/>
  <c r="O15" i="4"/>
  <c r="N15" i="4"/>
  <c r="M15" i="4"/>
  <c r="L15" i="4"/>
  <c r="K15" i="4"/>
  <c r="K17" i="4" l="1"/>
  <c r="K24" i="4" s="1"/>
  <c r="K27" i="4" s="1"/>
  <c r="M17" i="4"/>
  <c r="L17" i="4"/>
  <c r="L24" i="4" s="1"/>
  <c r="L27" i="4" s="1"/>
  <c r="N17" i="4"/>
  <c r="N25" i="4" s="1"/>
  <c r="O17" i="4"/>
  <c r="O25" i="4" s="1"/>
  <c r="M25" i="4"/>
  <c r="M24" i="4"/>
  <c r="M27" i="4" s="1"/>
  <c r="D49" i="4"/>
  <c r="E49" i="4"/>
  <c r="F49" i="4"/>
  <c r="G49" i="4"/>
  <c r="F43" i="4"/>
  <c r="G43" i="4"/>
  <c r="D37" i="4"/>
  <c r="E37" i="4"/>
  <c r="F37" i="4"/>
  <c r="G37" i="4"/>
  <c r="K25" i="4" l="1"/>
  <c r="O24" i="4"/>
  <c r="O27" i="4" s="1"/>
  <c r="N24" i="4"/>
  <c r="N27" i="4" s="1"/>
  <c r="L25" i="4"/>
  <c r="G50" i="4"/>
  <c r="G52" i="4" s="1"/>
  <c r="F50" i="4"/>
  <c r="F52" i="4" s="1"/>
  <c r="E43" i="4"/>
  <c r="E50" i="4" s="1"/>
  <c r="E52" i="4" s="1"/>
  <c r="D43" i="4"/>
  <c r="D50" i="4" s="1"/>
  <c r="D52" i="4" s="1"/>
  <c r="D23" i="4"/>
  <c r="E23" i="4"/>
  <c r="F23" i="4"/>
  <c r="G23" i="4"/>
  <c r="F17" i="4" l="1"/>
  <c r="G17" i="4"/>
  <c r="E17" i="4"/>
  <c r="D17" i="4"/>
  <c r="G24" i="4" l="1"/>
  <c r="F24" i="4"/>
  <c r="G25" i="4"/>
  <c r="G27" i="4" s="1"/>
  <c r="E24" i="4"/>
  <c r="F25" i="4"/>
  <c r="F27" i="4" s="1"/>
  <c r="E25" i="4"/>
  <c r="E27" i="4" s="1"/>
  <c r="D24" i="4"/>
  <c r="D25" i="4"/>
  <c r="D27" i="4" s="1"/>
  <c r="C49" i="4"/>
  <c r="C37" i="4"/>
  <c r="C43" i="4" l="1"/>
  <c r="C50" i="4" s="1"/>
  <c r="C52" i="4" s="1"/>
  <c r="C23" i="4"/>
  <c r="C17" i="4" l="1"/>
  <c r="C25" i="4" s="1"/>
  <c r="C27" i="4" s="1"/>
  <c r="C24" i="4" l="1"/>
  <c r="C22" i="3"/>
  <c r="D22" i="3"/>
  <c r="E22" i="3"/>
  <c r="F22" i="3"/>
  <c r="G22" i="3"/>
  <c r="B22" i="3"/>
  <c r="G21" i="3" l="1"/>
  <c r="G20" i="3"/>
  <c r="O11" i="3" s="1"/>
  <c r="H14" i="3"/>
  <c r="H13" i="3"/>
  <c r="H11" i="3"/>
  <c r="J14" i="3"/>
  <c r="O14" i="3"/>
  <c r="I11" i="3"/>
  <c r="I14" i="3"/>
  <c r="J9" i="3"/>
  <c r="K9" i="3"/>
  <c r="L9" i="3"/>
  <c r="M9" i="3"/>
  <c r="N9" i="3"/>
  <c r="O9" i="3"/>
  <c r="J13" i="3"/>
  <c r="I10" i="3"/>
  <c r="I13" i="3"/>
  <c r="H10" i="3"/>
  <c r="C21" i="3"/>
  <c r="K14" i="3" s="1"/>
  <c r="D21" i="3"/>
  <c r="L14" i="3" s="1"/>
  <c r="E21" i="3"/>
  <c r="M14" i="3" s="1"/>
  <c r="F21" i="3"/>
  <c r="N14" i="3" s="1"/>
  <c r="B21" i="3"/>
  <c r="E20" i="3"/>
  <c r="M11" i="3" s="1"/>
  <c r="B20" i="3"/>
  <c r="J11" i="3" s="1"/>
  <c r="G29" i="3"/>
  <c r="F29" i="3"/>
  <c r="F20" i="3" s="1"/>
  <c r="N11" i="3" s="1"/>
  <c r="E29" i="3"/>
  <c r="D29" i="3"/>
  <c r="D20" i="3" s="1"/>
  <c r="L11" i="3" s="1"/>
  <c r="C29" i="3"/>
  <c r="C20" i="3" s="1"/>
  <c r="K11" i="3" s="1"/>
  <c r="B29" i="3"/>
  <c r="G27" i="3"/>
  <c r="F27" i="3"/>
  <c r="E27" i="3"/>
  <c r="D27" i="3"/>
  <c r="C27" i="3"/>
  <c r="B27" i="3"/>
  <c r="G25" i="3"/>
  <c r="F25" i="3"/>
  <c r="E25" i="3"/>
  <c r="D25" i="3"/>
  <c r="C25" i="3"/>
  <c r="B25" i="3"/>
  <c r="B3" i="3"/>
  <c r="G9" i="3"/>
  <c r="F9" i="3"/>
  <c r="E9" i="3"/>
  <c r="D9" i="3"/>
  <c r="C9" i="3"/>
  <c r="B9" i="3"/>
  <c r="G13" i="3"/>
  <c r="F13" i="3"/>
  <c r="E13" i="3"/>
  <c r="C11" i="3" l="1"/>
  <c r="C3" i="3" s="1"/>
  <c r="K13" i="3" s="1"/>
  <c r="D11" i="3"/>
  <c r="D3" i="3" s="1"/>
  <c r="D9" i="2" s="1"/>
  <c r="D10" i="2" s="1"/>
  <c r="E11" i="3"/>
  <c r="E3" i="3" s="1"/>
  <c r="M13" i="3" s="1"/>
  <c r="F11" i="3"/>
  <c r="F3" i="3" s="1"/>
  <c r="N13" i="3" s="1"/>
  <c r="G11" i="3"/>
  <c r="G3" i="3" s="1"/>
  <c r="O13" i="3" s="1"/>
  <c r="B11" i="3"/>
  <c r="C7" i="3"/>
  <c r="D7" i="3"/>
  <c r="E7" i="3"/>
  <c r="F7" i="3"/>
  <c r="G7" i="3"/>
  <c r="B7" i="3"/>
  <c r="B2" i="3" s="1"/>
  <c r="J10" i="3" s="1"/>
  <c r="G1" i="1"/>
  <c r="G2" i="3" l="1"/>
  <c r="O10" i="3" s="1"/>
  <c r="L13" i="3"/>
  <c r="C2" i="3"/>
  <c r="K10" i="3" s="1"/>
  <c r="F2" i="3"/>
  <c r="E2" i="3"/>
  <c r="D2" i="3"/>
  <c r="L10" i="3" s="1"/>
  <c r="G9" i="2"/>
  <c r="G10" i="2" s="1"/>
  <c r="G5" i="2"/>
  <c r="G6" i="2" s="1"/>
  <c r="B5" i="2"/>
  <c r="B6" i="2" s="1"/>
  <c r="B9" i="2"/>
  <c r="B10" i="2" s="1"/>
  <c r="E9" i="2"/>
  <c r="E10" i="2" s="1"/>
  <c r="F9" i="2"/>
  <c r="F10" i="2" s="1"/>
  <c r="C9" i="2"/>
  <c r="C10" i="2" s="1"/>
  <c r="C5" i="2"/>
  <c r="C6" i="2" s="1"/>
  <c r="F5" i="2" l="1"/>
  <c r="F6" i="2" s="1"/>
  <c r="N10" i="3"/>
  <c r="E5" i="2"/>
  <c r="E6" i="2" s="1"/>
  <c r="M10" i="3"/>
  <c r="D5" i="2"/>
  <c r="D6" i="2" s="1"/>
</calcChain>
</file>

<file path=xl/sharedStrings.xml><?xml version="1.0" encoding="utf-8"?>
<sst xmlns="http://schemas.openxmlformats.org/spreadsheetml/2006/main" count="273" uniqueCount="183">
  <si>
    <t>上海物通  玉米报价</t>
    <phoneticPr fontId="2" type="noConversion"/>
  </si>
  <si>
    <t>北方港口交货（锦州港）</t>
    <phoneticPr fontId="2" type="noConversion"/>
  </si>
  <si>
    <t>11月</t>
    <phoneticPr fontId="2" type="noConversion"/>
  </si>
  <si>
    <t>12月</t>
    <phoneticPr fontId="2" type="noConversion"/>
  </si>
  <si>
    <t>品质/交货期</t>
    <phoneticPr fontId="2" type="noConversion"/>
  </si>
  <si>
    <t>1月</t>
    <phoneticPr fontId="2" type="noConversion"/>
  </si>
  <si>
    <t>2月</t>
    <phoneticPr fontId="2" type="noConversion"/>
  </si>
  <si>
    <t>一口价</t>
    <phoneticPr fontId="2" type="noConversion"/>
  </si>
  <si>
    <t>基差</t>
    <phoneticPr fontId="2" type="noConversion"/>
  </si>
  <si>
    <t>11月</t>
    <phoneticPr fontId="2" type="noConversion"/>
  </si>
  <si>
    <t>3月</t>
    <phoneticPr fontId="2" type="noConversion"/>
  </si>
  <si>
    <t>4月</t>
    <phoneticPr fontId="2" type="noConversion"/>
  </si>
  <si>
    <t>1月</t>
    <phoneticPr fontId="2" type="noConversion"/>
  </si>
  <si>
    <t>2月</t>
    <phoneticPr fontId="2" type="noConversion"/>
  </si>
  <si>
    <t>4月</t>
    <phoneticPr fontId="2" type="noConversion"/>
  </si>
  <si>
    <t>新粮18/19 二等</t>
    <phoneticPr fontId="2" type="noConversion"/>
  </si>
  <si>
    <t>品质说明</t>
    <phoneticPr fontId="2" type="noConversion"/>
  </si>
  <si>
    <t>新粮18/19 三等</t>
    <phoneticPr fontId="2" type="noConversion"/>
  </si>
  <si>
    <t>新粮18/19 三等</t>
    <phoneticPr fontId="2" type="noConversion"/>
  </si>
  <si>
    <t>水分</t>
    <phoneticPr fontId="2" type="noConversion"/>
  </si>
  <si>
    <t>容重</t>
    <phoneticPr fontId="2" type="noConversion"/>
  </si>
  <si>
    <t>霉变</t>
    <phoneticPr fontId="2" type="noConversion"/>
  </si>
  <si>
    <t>不完善</t>
    <phoneticPr fontId="2" type="noConversion"/>
  </si>
  <si>
    <t>杂质</t>
    <phoneticPr fontId="2" type="noConversion"/>
  </si>
  <si>
    <t>基差+DCE1901</t>
    <phoneticPr fontId="2" type="noConversion"/>
  </si>
  <si>
    <t>基差+DCE1905</t>
    <phoneticPr fontId="2" type="noConversion"/>
  </si>
  <si>
    <t>期货价</t>
    <phoneticPr fontId="2" type="noConversion"/>
  </si>
  <si>
    <t>现货资金成本</t>
    <phoneticPr fontId="2" type="noConversion"/>
  </si>
  <si>
    <t>损耗</t>
    <phoneticPr fontId="2" type="noConversion"/>
  </si>
  <si>
    <t>利润</t>
    <phoneticPr fontId="2" type="noConversion"/>
  </si>
  <si>
    <t>产地倒挂</t>
    <phoneticPr fontId="2" type="noConversion"/>
  </si>
  <si>
    <t>持有现货时间</t>
    <phoneticPr fontId="2" type="noConversion"/>
  </si>
  <si>
    <t>基差</t>
    <phoneticPr fontId="2" type="noConversion"/>
  </si>
  <si>
    <t>成本法</t>
    <phoneticPr fontId="2" type="noConversion"/>
  </si>
  <si>
    <t>成本法以近推远，如无法确定采购价则以采购日期的基差+持有期间成本推出远期基差</t>
    <phoneticPr fontId="2" type="noConversion"/>
  </si>
  <si>
    <t>预期采购基差（11月初）</t>
    <phoneticPr fontId="2" type="noConversion"/>
  </si>
  <si>
    <t>远期基差法</t>
    <phoneticPr fontId="2" type="noConversion"/>
  </si>
  <si>
    <t>预期基差（销售时点）</t>
    <phoneticPr fontId="2" type="noConversion"/>
  </si>
  <si>
    <t>仓储成本</t>
    <phoneticPr fontId="2" type="noConversion"/>
  </si>
  <si>
    <t>11月</t>
    <phoneticPr fontId="2" type="noConversion"/>
  </si>
  <si>
    <t>一口价套保时间</t>
    <phoneticPr fontId="2" type="noConversion"/>
  </si>
  <si>
    <t>一口价套保资金成本</t>
    <phoneticPr fontId="2" type="noConversion"/>
  </si>
  <si>
    <t>基差套保时间</t>
    <phoneticPr fontId="2" type="noConversion"/>
  </si>
  <si>
    <t>基差套保资金成本</t>
    <phoneticPr fontId="2" type="noConversion"/>
  </si>
  <si>
    <t xml:space="preserve">齐齐哈尔 </t>
    <phoneticPr fontId="2" type="noConversion"/>
  </si>
  <si>
    <t>10月初</t>
    <phoneticPr fontId="2" type="noConversion"/>
  </si>
  <si>
    <t>脱粒直接入库</t>
    <phoneticPr fontId="2" type="noConversion"/>
  </si>
  <si>
    <t>30%-40%</t>
    <phoneticPr fontId="2" type="noConversion"/>
  </si>
  <si>
    <t xml:space="preserve"> </t>
    <phoneticPr fontId="2" type="noConversion"/>
  </si>
  <si>
    <t>潮粮价</t>
    <phoneticPr fontId="2" type="noConversion"/>
  </si>
  <si>
    <t>到港成本</t>
    <phoneticPr fontId="2" type="noConversion"/>
  </si>
  <si>
    <t>仓储费用</t>
    <phoneticPr fontId="2" type="noConversion"/>
  </si>
  <si>
    <t>现货仓储</t>
    <phoneticPr fontId="2" type="noConversion"/>
  </si>
  <si>
    <t>仓单仓储</t>
    <phoneticPr fontId="2" type="noConversion"/>
  </si>
  <si>
    <t>小计</t>
    <phoneticPr fontId="2" type="noConversion"/>
  </si>
  <si>
    <t>检验费</t>
    <phoneticPr fontId="2" type="noConversion"/>
  </si>
  <si>
    <t>交割手续费</t>
    <phoneticPr fontId="2" type="noConversion"/>
  </si>
  <si>
    <t>交易手续费</t>
    <phoneticPr fontId="2" type="noConversion"/>
  </si>
  <si>
    <t>费用小计</t>
    <phoneticPr fontId="2" type="noConversion"/>
  </si>
  <si>
    <t>期货价格</t>
    <phoneticPr fontId="2" type="noConversion"/>
  </si>
  <si>
    <t>价差</t>
    <phoneticPr fontId="2" type="noConversion"/>
  </si>
  <si>
    <t>交割成本</t>
    <phoneticPr fontId="2" type="noConversion"/>
  </si>
  <si>
    <t>港口价格</t>
    <phoneticPr fontId="2" type="noConversion"/>
  </si>
  <si>
    <t>交割升贴水</t>
    <phoneticPr fontId="2" type="noConversion"/>
  </si>
  <si>
    <t>汽运到港成本</t>
    <phoneticPr fontId="2" type="noConversion"/>
  </si>
  <si>
    <t>汽运库内费用</t>
    <phoneticPr fontId="2" type="noConversion"/>
  </si>
  <si>
    <t>汽运费</t>
    <phoneticPr fontId="2" type="noConversion"/>
  </si>
  <si>
    <t>火运库内费用</t>
    <phoneticPr fontId="2" type="noConversion"/>
  </si>
  <si>
    <t>火运费</t>
    <phoneticPr fontId="2" type="noConversion"/>
  </si>
  <si>
    <t>火运到港成本</t>
    <phoneticPr fontId="2" type="noConversion"/>
  </si>
  <si>
    <t>现货资金利息</t>
    <phoneticPr fontId="2" type="noConversion"/>
  </si>
  <si>
    <t>期货资金利息</t>
    <phoneticPr fontId="2" type="noConversion"/>
  </si>
  <si>
    <t>备注</t>
    <phoneticPr fontId="2" type="noConversion"/>
  </si>
  <si>
    <t>汽运交割成本</t>
    <phoneticPr fontId="2" type="noConversion"/>
  </si>
  <si>
    <t>火运交割成本</t>
    <phoneticPr fontId="2" type="noConversion"/>
  </si>
  <si>
    <t>汽运入库费</t>
    <phoneticPr fontId="2" type="noConversion"/>
  </si>
  <si>
    <t>2、当价差为负数时，表示收购现货后不能锁定利润，或者说期货套期保值效果可能会较差；绝对数值越大，表示现货相比期货越贵，此时可采取相对消极的收购策略。</t>
    <phoneticPr fontId="2" type="noConversion"/>
  </si>
  <si>
    <t>1、当价差为正数时，表示收购现货同时卖出期货可以锁定交割利润；绝对数值越大，表示交割利润越大，也就是说相比期货现货更便宜，此时可采取相对积极的收购策略。</t>
    <phoneticPr fontId="2" type="noConversion"/>
  </si>
  <si>
    <t>3、计算交割利润并非一定要进行期货交割，只要实现套期保值效果即可；当价差为正数且数值越大时，套保效果越好。</t>
    <phoneticPr fontId="2" type="noConversion"/>
  </si>
  <si>
    <t>潮粮价</t>
    <phoneticPr fontId="2" type="noConversion"/>
  </si>
  <si>
    <t>火运库内费用</t>
    <phoneticPr fontId="2" type="noConversion"/>
  </si>
  <si>
    <t>火运费</t>
    <phoneticPr fontId="2" type="noConversion"/>
  </si>
  <si>
    <t>损耗税费</t>
    <phoneticPr fontId="2" type="noConversion"/>
  </si>
  <si>
    <t>现货仓储</t>
  </si>
  <si>
    <t>仓单仓储</t>
  </si>
  <si>
    <t>现货资金利息</t>
  </si>
  <si>
    <t>期货资金利息</t>
  </si>
  <si>
    <t>交割升贴水</t>
  </si>
  <si>
    <t>检验费</t>
  </si>
  <si>
    <t>交割手续费</t>
  </si>
  <si>
    <t>交易手续费</t>
  </si>
  <si>
    <t>仓储成本小计</t>
    <phoneticPr fontId="2" type="noConversion"/>
  </si>
  <si>
    <t>火运入库费</t>
    <phoneticPr fontId="2" type="noConversion"/>
  </si>
  <si>
    <t>交割费用小计</t>
    <phoneticPr fontId="2" type="noConversion"/>
  </si>
  <si>
    <t>备注</t>
    <phoneticPr fontId="2" type="noConversion"/>
  </si>
  <si>
    <t>到港成本</t>
    <phoneticPr fontId="2" type="noConversion"/>
  </si>
  <si>
    <t>仓储费用</t>
    <phoneticPr fontId="2" type="noConversion"/>
  </si>
  <si>
    <t>交割成本</t>
    <phoneticPr fontId="2" type="noConversion"/>
  </si>
  <si>
    <t>火运到港成本</t>
    <phoneticPr fontId="2" type="noConversion"/>
  </si>
  <si>
    <t>港口价格</t>
    <phoneticPr fontId="2" type="noConversion"/>
  </si>
  <si>
    <t>价差</t>
    <phoneticPr fontId="2" type="noConversion"/>
  </si>
  <si>
    <t>干粮价</t>
    <phoneticPr fontId="2" type="noConversion"/>
  </si>
  <si>
    <t>火运库内费用：上站12.5人工6</t>
    <phoneticPr fontId="2" type="noConversion"/>
  </si>
  <si>
    <t>资金成本年化10%，损耗千分之二</t>
    <phoneticPr fontId="2" type="noConversion"/>
  </si>
  <si>
    <t>干粮价</t>
    <phoneticPr fontId="2" type="noConversion"/>
  </si>
  <si>
    <t>资金成本年化10%</t>
    <phoneticPr fontId="2" type="noConversion"/>
  </si>
  <si>
    <t>15水700容重无票（除德美亚）</t>
    <phoneticPr fontId="2" type="noConversion"/>
  </si>
  <si>
    <t>亿丰源镇赉</t>
    <phoneticPr fontId="2" type="noConversion"/>
  </si>
  <si>
    <t>汽运库内费用：烘干50收购5保管6.7出库5</t>
    <phoneticPr fontId="2" type="noConversion"/>
  </si>
  <si>
    <t>克山天跃</t>
  </si>
  <si>
    <t>安达亿鼎</t>
  </si>
  <si>
    <t>安达亿鼎</t>
    <phoneticPr fontId="2" type="noConversion"/>
  </si>
  <si>
    <t>镇赉益健</t>
  </si>
  <si>
    <t>镇赉益健</t>
    <phoneticPr fontId="2" type="noConversion"/>
  </si>
  <si>
    <t>交割日</t>
    <phoneticPr fontId="2" type="noConversion"/>
  </si>
  <si>
    <t>天跃干粮价已含烘干费；</t>
    <phoneticPr fontId="2" type="noConversion"/>
  </si>
  <si>
    <t>锦州港</t>
    <phoneticPr fontId="2" type="noConversion"/>
  </si>
  <si>
    <t>火运库内费用包括短倒/装卸费/烘干费/装车检斤</t>
    <phoneticPr fontId="2" type="noConversion"/>
  </si>
  <si>
    <t>期货</t>
    <phoneticPr fontId="2" type="noConversion"/>
  </si>
  <si>
    <t>损耗税费</t>
    <phoneticPr fontId="2" type="noConversion"/>
  </si>
  <si>
    <t>损耗税费</t>
    <phoneticPr fontId="2" type="noConversion"/>
  </si>
  <si>
    <t>兴安盟稷丰</t>
    <phoneticPr fontId="2" type="noConversion"/>
  </si>
  <si>
    <t>二等玉米</t>
    <phoneticPr fontId="2" type="noConversion"/>
  </si>
  <si>
    <t>兴安盟稷丰</t>
  </si>
  <si>
    <t>大安洵佶</t>
    <phoneticPr fontId="2" type="noConversion"/>
  </si>
  <si>
    <t>三盛佰富</t>
    <phoneticPr fontId="2" type="noConversion"/>
  </si>
  <si>
    <t>交货地：锦州港</t>
    <phoneticPr fontId="2" type="noConversion"/>
  </si>
  <si>
    <t>交货方式：港口库内交货</t>
    <phoneticPr fontId="2" type="noConversion"/>
  </si>
  <si>
    <t>备注：交货期指每月5日-25日，具体以卖方交货时间为准。联系人：XXX，联系电话;xxxxx</t>
    <phoneticPr fontId="2" type="noConversion"/>
  </si>
  <si>
    <t>业务参数</t>
    <phoneticPr fontId="2" type="noConversion"/>
  </si>
  <si>
    <t>资金成本</t>
    <phoneticPr fontId="2" type="noConversion"/>
  </si>
  <si>
    <t>港口680含票价格</t>
    <phoneticPr fontId="2" type="noConversion"/>
  </si>
  <si>
    <t>交割费用</t>
    <phoneticPr fontId="2" type="noConversion"/>
  </si>
  <si>
    <t>入库</t>
    <phoneticPr fontId="2" type="noConversion"/>
  </si>
  <si>
    <t>贴水</t>
    <phoneticPr fontId="2" type="noConversion"/>
  </si>
  <si>
    <t>质检</t>
    <phoneticPr fontId="2" type="noConversion"/>
  </si>
  <si>
    <t>合计</t>
    <phoneticPr fontId="2" type="noConversion"/>
  </si>
  <si>
    <t>资金成本</t>
    <phoneticPr fontId="2" type="noConversion"/>
  </si>
  <si>
    <t>期货</t>
    <phoneticPr fontId="2" type="noConversion"/>
  </si>
  <si>
    <t>现货</t>
    <phoneticPr fontId="2" type="noConversion"/>
  </si>
  <si>
    <t>合计</t>
    <phoneticPr fontId="2" type="noConversion"/>
  </si>
  <si>
    <t>距离交割天数</t>
    <phoneticPr fontId="2" type="noConversion"/>
  </si>
  <si>
    <t>交割利润</t>
    <phoneticPr fontId="2" type="noConversion"/>
  </si>
  <si>
    <t>现货仓储天数</t>
    <phoneticPr fontId="2" type="noConversion"/>
  </si>
  <si>
    <t>期货仓储天数</t>
    <phoneticPr fontId="2" type="noConversion"/>
  </si>
  <si>
    <t>仓储</t>
    <phoneticPr fontId="2" type="noConversion"/>
  </si>
  <si>
    <t>资金占用</t>
    <phoneticPr fontId="2" type="noConversion"/>
  </si>
  <si>
    <t>起始日</t>
    <phoneticPr fontId="2" type="noConversion"/>
  </si>
  <si>
    <t>截止日</t>
    <phoneticPr fontId="2" type="noConversion"/>
  </si>
  <si>
    <t>费用合计</t>
    <phoneticPr fontId="2" type="noConversion"/>
  </si>
  <si>
    <t>交割年化收益率</t>
    <phoneticPr fontId="2" type="noConversion"/>
  </si>
  <si>
    <t>基差</t>
    <phoneticPr fontId="2" type="noConversion"/>
  </si>
  <si>
    <t>期货价格</t>
    <phoneticPr fontId="2" type="noConversion"/>
  </si>
  <si>
    <t>现货资金占用</t>
    <phoneticPr fontId="2" type="noConversion"/>
  </si>
  <si>
    <t>资金占用成本</t>
    <phoneticPr fontId="2" type="noConversion"/>
  </si>
  <si>
    <t>滑点</t>
    <phoneticPr fontId="2" type="noConversion"/>
  </si>
  <si>
    <t>交割成本</t>
    <phoneticPr fontId="2" type="noConversion"/>
  </si>
  <si>
    <t>购销价格</t>
    <phoneticPr fontId="2" type="noConversion"/>
  </si>
  <si>
    <t>现货价格</t>
    <phoneticPr fontId="2" type="noConversion"/>
  </si>
  <si>
    <t>现货保证金10%</t>
    <phoneticPr fontId="2" type="noConversion"/>
  </si>
  <si>
    <t>期货与现货保证金占用时间</t>
    <phoneticPr fontId="2" type="noConversion"/>
  </si>
  <si>
    <t>交割利润测算</t>
    <phoneticPr fontId="2" type="noConversion"/>
  </si>
  <si>
    <t>现货价格</t>
    <phoneticPr fontId="2" type="noConversion"/>
  </si>
  <si>
    <t>现货资金成本</t>
    <phoneticPr fontId="2" type="noConversion"/>
  </si>
  <si>
    <t>期货资金成本</t>
    <phoneticPr fontId="2" type="noConversion"/>
  </si>
  <si>
    <t>资金成本合计</t>
    <phoneticPr fontId="2" type="noConversion"/>
  </si>
  <si>
    <t>仓储费</t>
    <phoneticPr fontId="2" type="noConversion"/>
  </si>
  <si>
    <t>交割费用合计</t>
    <phoneticPr fontId="2" type="noConversion"/>
  </si>
  <si>
    <t>标准仓单成本</t>
    <phoneticPr fontId="2" type="noConversion"/>
  </si>
  <si>
    <t>期货价格</t>
    <phoneticPr fontId="2" type="noConversion"/>
  </si>
  <si>
    <t>交割利润</t>
    <phoneticPr fontId="2" type="noConversion"/>
  </si>
  <si>
    <t>其他交割费用</t>
    <phoneticPr fontId="2" type="noConversion"/>
  </si>
  <si>
    <t>期货2001</t>
    <phoneticPr fontId="2" type="noConversion"/>
  </si>
  <si>
    <t>港口平舱</t>
    <phoneticPr fontId="2" type="noConversion"/>
  </si>
  <si>
    <t>项目</t>
    <phoneticPr fontId="2" type="noConversion"/>
  </si>
  <si>
    <t>期货交割</t>
    <phoneticPr fontId="2" type="noConversion"/>
  </si>
  <si>
    <t>港口价格</t>
    <phoneticPr fontId="2" type="noConversion"/>
  </si>
  <si>
    <t>资金成本</t>
    <phoneticPr fontId="2" type="noConversion"/>
  </si>
  <si>
    <t>合计</t>
    <phoneticPr fontId="2" type="noConversion"/>
  </si>
  <si>
    <t>平舱费</t>
    <phoneticPr fontId="2" type="noConversion"/>
  </si>
  <si>
    <t>其他费用</t>
    <phoneticPr fontId="2" type="noConversion"/>
  </si>
  <si>
    <t>当前平舱价</t>
    <phoneticPr fontId="2" type="noConversion"/>
  </si>
  <si>
    <t>期货2005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</si>
</sst>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m&quot;月&quot;d&quot;日&quot;;@"/>
    <numFmt numFmtId="178" formatCode="0.00_ "/>
    <numFmt numFmtId="179" formatCode="0.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0" tint="-0.34998626667073579"/>
      <name val="宋体"/>
      <family val="2"/>
      <scheme val="minor"/>
    </font>
    <font>
      <sz val="9"/>
      <color theme="0" tint="-0.34998626667073579"/>
      <name val="宋体"/>
      <family val="3"/>
      <charset val="134"/>
      <scheme val="minor"/>
    </font>
    <font>
      <b/>
      <sz val="14"/>
      <color rgb="FFC0000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499984740745262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 style="thin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 style="thin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4" fillId="0" borderId="0" xfId="0" applyFont="1"/>
    <xf numFmtId="0" fontId="4" fillId="0" borderId="1" xfId="0" applyFont="1" applyBorder="1"/>
    <xf numFmtId="9" fontId="4" fillId="0" borderId="1" xfId="1" applyFont="1" applyBorder="1" applyAlignment="1"/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Border="1" applyAlignment="1"/>
    <xf numFmtId="14" fontId="3" fillId="0" borderId="0" xfId="0" applyNumberFormat="1" applyFont="1" applyAlignment="1"/>
    <xf numFmtId="1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" fontId="5" fillId="0" borderId="1" xfId="0" applyNumberFormat="1" applyFont="1" applyBorder="1"/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77" fontId="12" fillId="9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0" xfId="0" applyFill="1" applyBorder="1"/>
    <xf numFmtId="14" fontId="0" fillId="0" borderId="1" xfId="0" applyNumberFormat="1" applyBorder="1"/>
    <xf numFmtId="2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10" borderId="13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0" borderId="2" xfId="0" applyBorder="1"/>
    <xf numFmtId="9" fontId="0" fillId="0" borderId="4" xfId="0" applyNumberFormat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12" borderId="1" xfId="0" applyFill="1" applyBorder="1"/>
    <xf numFmtId="2" fontId="0" fillId="12" borderId="1" xfId="0" applyNumberFormat="1" applyFill="1" applyBorder="1"/>
    <xf numFmtId="178" fontId="0" fillId="12" borderId="1" xfId="0" applyNumberFormat="1" applyFill="1" applyBorder="1"/>
    <xf numFmtId="0" fontId="14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9" fontId="14" fillId="4" borderId="1" xfId="0" applyNumberFormat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0" fillId="10" borderId="1" xfId="0" applyFill="1" applyBorder="1"/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6" fillId="0" borderId="0" xfId="0" applyFont="1"/>
    <xf numFmtId="0" fontId="17" fillId="9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Continuous" vertic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14" fontId="3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4" fontId="5" fillId="8" borderId="7" xfId="0" applyNumberFormat="1" applyFont="1" applyFill="1" applyBorder="1" applyAlignment="1">
      <alignment horizontal="center" vertical="center"/>
    </xf>
    <xf numFmtId="14" fontId="5" fillId="8" borderId="22" xfId="0" applyNumberFormat="1" applyFont="1" applyFill="1" applyBorder="1" applyAlignment="1">
      <alignment horizontal="center" vertical="center"/>
    </xf>
    <xf numFmtId="14" fontId="5" fillId="8" borderId="23" xfId="0" applyNumberFormat="1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敏感性分析：交割年化收益率</a:t>
            </a:r>
            <a:r>
              <a:rPr lang="en-US" altLang="zh-CN"/>
              <a:t>-</a:t>
            </a:r>
            <a:r>
              <a:rPr lang="zh-CN" altLang="en-US"/>
              <a:t>基差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交割年化收益率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交割计算!$C$25:$H$25</c:f>
              <c:numCache>
                <c:formatCode>General</c:formatCode>
                <c:ptCount val="6"/>
                <c:pt idx="0">
                  <c:v>-66</c:v>
                </c:pt>
                <c:pt idx="1">
                  <c:v>-76</c:v>
                </c:pt>
                <c:pt idx="2">
                  <c:v>-86</c:v>
                </c:pt>
                <c:pt idx="3">
                  <c:v>-96</c:v>
                </c:pt>
                <c:pt idx="4">
                  <c:v>-106</c:v>
                </c:pt>
                <c:pt idx="5">
                  <c:v>-116</c:v>
                </c:pt>
              </c:numCache>
            </c:numRef>
          </c:cat>
          <c:val>
            <c:numRef>
              <c:f>交割计算!$C$24:$H$24</c:f>
              <c:numCache>
                <c:formatCode>0.00%</c:formatCode>
                <c:ptCount val="6"/>
                <c:pt idx="0">
                  <c:v>-4.1571626784440548E-2</c:v>
                </c:pt>
                <c:pt idx="1">
                  <c:v>-2.6757421231784553E-2</c:v>
                </c:pt>
                <c:pt idx="2">
                  <c:v>-1.1968744208428308E-2</c:v>
                </c:pt>
                <c:pt idx="3">
                  <c:v>2.7944702167472298E-3</c:v>
                </c:pt>
                <c:pt idx="4">
                  <c:v>1.7532287748020865E-2</c:v>
                </c:pt>
                <c:pt idx="5">
                  <c:v>3.2244773863805885E-2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59584"/>
        <c:axId val="401549248"/>
      </c:lineChart>
      <c:catAx>
        <c:axId val="4015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49248"/>
        <c:crosses val="autoZero"/>
        <c:auto val="1"/>
        <c:lblAlgn val="ctr"/>
        <c:lblOffset val="100"/>
        <c:noMultiLvlLbl val="0"/>
      </c:catAx>
      <c:valAx>
        <c:axId val="4015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419100</xdr:colOff>
      <xdr:row>15</xdr:row>
      <xdr:rowOff>95250</xdr:rowOff>
    </xdr:from>
    <xdr:to>
      <xdr:col>16</xdr:col>
      <xdr:colOff>628888</xdr:colOff>
      <xdr:row>19</xdr:row>
      <xdr:rowOff>183555</xdr:rowOff>
    </xdr:to>
    <xdr:pic>
      <xdr:nvPicPr>
        <xdr:cNvPr id="2" name="Picture 2" descr="E:\公司资料\物通标识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1"/>
        <a:stretch/>
      </xdr:blipFill>
      <xdr:spPr bwMode="auto">
        <a:xfrm>
          <a:off x="11334750" y="2876550"/>
          <a:ext cx="895588" cy="926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351374</xdr:colOff>
      <xdr:row>3</xdr:row>
      <xdr:rowOff>146649</xdr:rowOff>
    </xdr:from>
    <xdr:ext cx="4288353" cy="1426031"/>
    <xdr:sp macro="" textlink="">
      <xdr:nvSpPr>
        <xdr:cNvPr id="4" name="矩形 3"/>
        <xdr:cNvSpPr/>
      </xdr:nvSpPr>
      <xdr:spPr>
        <a:xfrm rot="20509718">
          <a:off x="351374" y="832449"/>
          <a:ext cx="4288353" cy="14260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8000" b="0" cap="none" spc="0">
              <a:ln w="0"/>
              <a:solidFill>
                <a:schemeClr val="accent1">
                  <a:alpha val="1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上海物通</a:t>
          </a:r>
        </a:p>
      </xdr:txBody>
    </xdr:sp>
    <xdr:clientData/>
  </xdr:oneCellAnchor>
  <xdr:twoCellAnchor editAs="oneCell">
    <xdr:from>
      <xdr:col>15</xdr:col>
      <xdr:colOff>590550</xdr:colOff>
      <xdr:row>16</xdr:row>
      <xdr:rowOff>66675</xdr:rowOff>
    </xdr:from>
    <xdr:to>
      <xdr:col>17</xdr:col>
      <xdr:colOff>114538</xdr:colOff>
      <xdr:row>20</xdr:row>
      <xdr:rowOff>154980</xdr:rowOff>
    </xdr:to>
    <xdr:pic>
      <xdr:nvPicPr>
        <xdr:cNvPr id="2" name="Picture 2" descr="E:\公司资料\物通标识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1"/>
        <a:stretch/>
      </xdr:blipFill>
      <xdr:spPr bwMode="auto">
        <a:xfrm>
          <a:off x="11506200" y="3476625"/>
          <a:ext cx="895588" cy="926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</xdr:colOff>
      <xdr:row>10</xdr:row>
      <xdr:rowOff>142875</xdr:rowOff>
    </xdr:from>
    <xdr:to>
      <xdr:col>6</xdr:col>
      <xdr:colOff>742950</xdr:colOff>
      <xdr:row>14</xdr:row>
      <xdr:rowOff>24004</xdr:rowOff>
    </xdr:to>
    <xdr:pic>
      <xdr:nvPicPr>
        <xdr:cNvPr id="3" name="Picture 2" descr="E:\公司资料\物通标识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1"/>
        <a:stretch/>
      </xdr:blipFill>
      <xdr:spPr bwMode="auto">
        <a:xfrm>
          <a:off x="4676775" y="2295525"/>
          <a:ext cx="695325" cy="719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42862</xdr:rowOff>
    </xdr:from>
    <xdr:to>
      <xdr:col>14</xdr:col>
      <xdr:colOff>647700</xdr:colOff>
      <xdr:row>24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13" sqref="E13"/>
    </sheetView>
  </sheetViews>
  <sheetFormatPr defaultRowHeight="16.5"/>
  <cols>
    <col min="1" max="1" width="15.75" style="1" customWidth="1"/>
    <col min="2" max="6" width="9" style="1"/>
    <col min="7" max="7" width="10.5" style="1" bestFit="1" customWidth="1"/>
    <col min="8" max="16384" width="9" style="1"/>
  </cols>
  <sheetData>
    <row r="1" spans="1:13" ht="21">
      <c r="A1" s="110" t="s">
        <v>0</v>
      </c>
      <c r="B1" s="110"/>
      <c r="C1" s="110"/>
      <c r="D1" s="110"/>
      <c r="E1" s="110"/>
      <c r="F1" s="110"/>
      <c r="G1" s="111">
        <f ca="1">TODAY()</f>
        <v>43728</v>
      </c>
      <c r="H1" s="111"/>
    </row>
    <row r="2" spans="1:13">
      <c r="A2" s="112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>
      <c r="A3" s="4"/>
      <c r="B3" s="115" t="s">
        <v>7</v>
      </c>
      <c r="C3" s="115"/>
      <c r="D3" s="115"/>
      <c r="E3" s="115"/>
      <c r="F3" s="115"/>
      <c r="G3" s="115"/>
      <c r="H3" s="115" t="s">
        <v>8</v>
      </c>
      <c r="I3" s="115"/>
      <c r="J3" s="115"/>
      <c r="K3" s="115"/>
      <c r="L3" s="115"/>
      <c r="M3" s="115"/>
    </row>
    <row r="4" spans="1:13">
      <c r="A4" s="2" t="s">
        <v>4</v>
      </c>
      <c r="B4" s="2" t="s">
        <v>2</v>
      </c>
      <c r="C4" s="2" t="s">
        <v>3</v>
      </c>
      <c r="D4" s="2" t="s">
        <v>5</v>
      </c>
      <c r="E4" s="2" t="s">
        <v>6</v>
      </c>
      <c r="F4" s="2" t="s">
        <v>10</v>
      </c>
      <c r="G4" s="2" t="s">
        <v>11</v>
      </c>
      <c r="H4" s="2" t="s">
        <v>9</v>
      </c>
      <c r="I4" s="2" t="s">
        <v>3</v>
      </c>
      <c r="J4" s="2" t="s">
        <v>12</v>
      </c>
      <c r="K4" s="2" t="s">
        <v>13</v>
      </c>
      <c r="L4" s="2" t="s">
        <v>10</v>
      </c>
      <c r="M4" s="2" t="s">
        <v>14</v>
      </c>
    </row>
    <row r="5" spans="1:13">
      <c r="A5" s="2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10" spans="1:13">
      <c r="A10" s="2" t="s">
        <v>16</v>
      </c>
      <c r="B10" s="2" t="s">
        <v>19</v>
      </c>
      <c r="C10" s="2" t="s">
        <v>20</v>
      </c>
      <c r="D10" s="2" t="s">
        <v>21</v>
      </c>
      <c r="E10" s="2" t="s">
        <v>22</v>
      </c>
      <c r="F10" s="2" t="s">
        <v>23</v>
      </c>
    </row>
    <row r="11" spans="1:13">
      <c r="A11" s="2" t="s">
        <v>15</v>
      </c>
      <c r="B11" s="3">
        <v>0.15</v>
      </c>
      <c r="C11" s="2">
        <v>690</v>
      </c>
      <c r="D11" s="3">
        <v>0.02</v>
      </c>
      <c r="E11" s="3">
        <v>0.08</v>
      </c>
      <c r="F11" s="3">
        <v>0.01</v>
      </c>
    </row>
    <row r="12" spans="1:13">
      <c r="A12" s="2" t="s">
        <v>18</v>
      </c>
      <c r="B12" s="3">
        <v>0.15</v>
      </c>
      <c r="C12" s="2">
        <v>660</v>
      </c>
      <c r="D12" s="3">
        <v>0.02</v>
      </c>
      <c r="E12" s="3">
        <v>0.08</v>
      </c>
      <c r="F12" s="3">
        <v>0.01</v>
      </c>
    </row>
  </sheetData>
  <mergeCells count="5">
    <mergeCell ref="A1:F1"/>
    <mergeCell ref="G1:H1"/>
    <mergeCell ref="A2:M2"/>
    <mergeCell ref="B3:G3"/>
    <mergeCell ref="H3:M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G16"/>
    </sheetView>
  </sheetViews>
  <sheetFormatPr defaultRowHeight="16.5"/>
  <cols>
    <col min="1" max="1" width="15.75" style="1" customWidth="1"/>
    <col min="2" max="6" width="9" style="1"/>
    <col min="7" max="7" width="10.5" style="1" bestFit="1" customWidth="1"/>
    <col min="8" max="16384" width="9" style="1"/>
  </cols>
  <sheetData>
    <row r="1" spans="1:13" ht="21">
      <c r="A1" s="119" t="s">
        <v>0</v>
      </c>
      <c r="B1" s="119"/>
      <c r="C1" s="119"/>
      <c r="D1" s="119"/>
      <c r="E1" s="120">
        <v>43352</v>
      </c>
      <c r="F1" s="120"/>
      <c r="G1" s="120"/>
      <c r="H1" s="7"/>
    </row>
    <row r="2" spans="1:13">
      <c r="A2" s="121" t="s">
        <v>126</v>
      </c>
      <c r="B2" s="122"/>
      <c r="C2" s="123"/>
      <c r="D2" s="121" t="s">
        <v>127</v>
      </c>
      <c r="E2" s="122"/>
      <c r="F2" s="122"/>
      <c r="G2" s="123"/>
      <c r="H2" s="6"/>
      <c r="I2" s="6"/>
      <c r="J2" s="6"/>
      <c r="K2" s="6"/>
      <c r="L2" s="6"/>
      <c r="M2" s="6"/>
    </row>
    <row r="3" spans="1:13">
      <c r="A3" s="121" t="s">
        <v>7</v>
      </c>
      <c r="B3" s="122"/>
      <c r="C3" s="122"/>
      <c r="D3" s="122"/>
      <c r="E3" s="122"/>
      <c r="F3" s="122"/>
      <c r="G3" s="123"/>
    </row>
    <row r="4" spans="1:13">
      <c r="A4" s="2" t="s">
        <v>4</v>
      </c>
      <c r="B4" s="2" t="s">
        <v>2</v>
      </c>
      <c r="C4" s="2" t="s">
        <v>3</v>
      </c>
      <c r="D4" s="2" t="s">
        <v>5</v>
      </c>
      <c r="E4" s="2" t="s">
        <v>6</v>
      </c>
      <c r="F4" s="2" t="s">
        <v>10</v>
      </c>
      <c r="G4" s="2" t="s">
        <v>11</v>
      </c>
    </row>
    <row r="5" spans="1:13">
      <c r="A5" s="2" t="s">
        <v>15</v>
      </c>
      <c r="B5" s="8">
        <f>价格计算!B2</f>
        <v>1866.2564102564102</v>
      </c>
      <c r="C5" s="8">
        <f>价格计算!C2</f>
        <v>1876.2564102564102</v>
      </c>
      <c r="D5" s="8">
        <f>价格计算!D2</f>
        <v>1889.5897435897436</v>
      </c>
      <c r="E5" s="32">
        <f>价格计算!E2</f>
        <v>1908.4230769230769</v>
      </c>
      <c r="F5" s="8">
        <f>价格计算!F2</f>
        <v>1926.2564102564102</v>
      </c>
      <c r="G5" s="8">
        <f>价格计算!G2</f>
        <v>1944.0897435897436</v>
      </c>
    </row>
    <row r="6" spans="1:13">
      <c r="A6" s="2" t="s">
        <v>17</v>
      </c>
      <c r="B6" s="8">
        <f t="shared" ref="B6:G6" si="0">B5-40</f>
        <v>1826.2564102564102</v>
      </c>
      <c r="C6" s="8">
        <f t="shared" si="0"/>
        <v>1836.2564102564102</v>
      </c>
      <c r="D6" s="8">
        <f t="shared" si="0"/>
        <v>1849.5897435897436</v>
      </c>
      <c r="E6" s="8">
        <f t="shared" si="0"/>
        <v>1868.4230769230769</v>
      </c>
      <c r="F6" s="8">
        <f t="shared" si="0"/>
        <v>1886.2564102564102</v>
      </c>
      <c r="G6" s="8">
        <f t="shared" si="0"/>
        <v>1904.0897435897436</v>
      </c>
    </row>
    <row r="7" spans="1:13">
      <c r="A7" s="118" t="s">
        <v>24</v>
      </c>
      <c r="B7" s="118"/>
      <c r="C7" s="118"/>
      <c r="D7" s="118"/>
      <c r="E7" s="118" t="s">
        <v>25</v>
      </c>
      <c r="F7" s="118"/>
      <c r="G7" s="118"/>
      <c r="H7" s="5"/>
      <c r="I7" s="5"/>
      <c r="J7" s="5"/>
      <c r="K7" s="5"/>
      <c r="L7" s="5"/>
      <c r="M7" s="5"/>
    </row>
    <row r="8" spans="1:13">
      <c r="A8" s="2" t="s">
        <v>4</v>
      </c>
      <c r="B8" s="2" t="s">
        <v>9</v>
      </c>
      <c r="C8" s="2" t="s">
        <v>3</v>
      </c>
      <c r="D8" s="2" t="s">
        <v>12</v>
      </c>
      <c r="E8" s="2" t="s">
        <v>13</v>
      </c>
      <c r="F8" s="2" t="s">
        <v>10</v>
      </c>
      <c r="G8" s="2" t="s">
        <v>14</v>
      </c>
      <c r="H8" s="5"/>
      <c r="I8" s="5"/>
      <c r="J8" s="5"/>
      <c r="K8" s="5"/>
      <c r="L8" s="5"/>
      <c r="M8" s="5"/>
    </row>
    <row r="9" spans="1:13">
      <c r="A9" s="2" t="s">
        <v>15</v>
      </c>
      <c r="B9" s="8">
        <f>价格计算!B3</f>
        <v>17.794871794871796</v>
      </c>
      <c r="C9" s="8">
        <f>价格计算!C3</f>
        <v>29.256410256410255</v>
      </c>
      <c r="D9" s="32">
        <f>价格计算!D3</f>
        <v>44.051282051282051</v>
      </c>
      <c r="E9" s="8">
        <f>价格计算!E3</f>
        <v>-36.65384615384616</v>
      </c>
      <c r="F9" s="8">
        <f>价格计算!F3</f>
        <v>-17.358974358974358</v>
      </c>
      <c r="G9" s="8">
        <f>价格计算!G3</f>
        <v>1.935897435897445</v>
      </c>
      <c r="H9" s="5"/>
      <c r="I9" s="5"/>
      <c r="J9" s="5"/>
      <c r="K9" s="5"/>
      <c r="L9" s="5"/>
      <c r="M9" s="5"/>
    </row>
    <row r="10" spans="1:13">
      <c r="A10" s="2" t="s">
        <v>17</v>
      </c>
      <c r="B10" s="8">
        <f t="shared" ref="B10:G10" si="1">B9-40</f>
        <v>-22.205128205128204</v>
      </c>
      <c r="C10" s="8">
        <f t="shared" si="1"/>
        <v>-10.743589743589745</v>
      </c>
      <c r="D10" s="8">
        <f t="shared" si="1"/>
        <v>4.0512820512820511</v>
      </c>
      <c r="E10" s="8">
        <f t="shared" si="1"/>
        <v>-76.65384615384616</v>
      </c>
      <c r="F10" s="8">
        <f t="shared" si="1"/>
        <v>-57.358974358974358</v>
      </c>
      <c r="G10" s="8">
        <f t="shared" si="1"/>
        <v>-38.064102564102555</v>
      </c>
      <c r="H10" s="5"/>
      <c r="I10" s="5"/>
      <c r="J10" s="5"/>
      <c r="K10" s="5"/>
      <c r="L10" s="5"/>
      <c r="M10" s="5"/>
    </row>
    <row r="12" spans="1:13">
      <c r="A12" s="2" t="s">
        <v>16</v>
      </c>
      <c r="B12" s="2" t="s">
        <v>19</v>
      </c>
      <c r="C12" s="2" t="s">
        <v>20</v>
      </c>
      <c r="D12" s="2" t="s">
        <v>21</v>
      </c>
      <c r="E12" s="2" t="s">
        <v>22</v>
      </c>
      <c r="F12" s="2" t="s">
        <v>23</v>
      </c>
    </row>
    <row r="13" spans="1:13">
      <c r="A13" s="2" t="s">
        <v>15</v>
      </c>
      <c r="B13" s="3">
        <v>0.15</v>
      </c>
      <c r="C13" s="2">
        <v>690</v>
      </c>
      <c r="D13" s="3">
        <v>0.02</v>
      </c>
      <c r="E13" s="3">
        <v>0.08</v>
      </c>
      <c r="F13" s="3">
        <v>0.01</v>
      </c>
    </row>
    <row r="14" spans="1:13">
      <c r="A14" s="2" t="s">
        <v>18</v>
      </c>
      <c r="B14" s="3">
        <v>0.15</v>
      </c>
      <c r="C14" s="2">
        <v>660</v>
      </c>
      <c r="D14" s="3">
        <v>0.02</v>
      </c>
      <c r="E14" s="3">
        <v>0.08</v>
      </c>
      <c r="F14" s="3">
        <v>0.01</v>
      </c>
    </row>
    <row r="15" spans="1:13" ht="16.5" customHeight="1">
      <c r="A15" s="116" t="s">
        <v>128</v>
      </c>
      <c r="B15" s="116"/>
      <c r="C15" s="116"/>
      <c r="D15" s="116"/>
      <c r="E15" s="116"/>
      <c r="F15" s="116"/>
      <c r="G15" s="71"/>
    </row>
    <row r="16" spans="1:13">
      <c r="A16" s="117"/>
      <c r="B16" s="117"/>
      <c r="C16" s="117"/>
      <c r="D16" s="117"/>
      <c r="E16" s="117"/>
      <c r="F16" s="117"/>
      <c r="G16" s="71"/>
    </row>
  </sheetData>
  <mergeCells count="8">
    <mergeCell ref="A15:F16"/>
    <mergeCell ref="A7:D7"/>
    <mergeCell ref="E7:G7"/>
    <mergeCell ref="A1:D1"/>
    <mergeCell ref="E1:G1"/>
    <mergeCell ref="A3:G3"/>
    <mergeCell ref="A2:C2"/>
    <mergeCell ref="D2:G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I20" sqref="I20"/>
    </sheetView>
  </sheetViews>
  <sheetFormatPr defaultRowHeight="13.5"/>
  <cols>
    <col min="1" max="1" width="15.375" style="10" customWidth="1"/>
    <col min="2" max="11" width="9" style="10"/>
    <col min="12" max="12" width="13" style="10" bestFit="1" customWidth="1"/>
    <col min="13" max="16384" width="9" style="10"/>
  </cols>
  <sheetData>
    <row r="1" spans="1:15" ht="18.75">
      <c r="A1" s="13" t="s">
        <v>33</v>
      </c>
      <c r="B1" s="9" t="s">
        <v>39</v>
      </c>
      <c r="C1" s="9" t="s">
        <v>3</v>
      </c>
      <c r="D1" s="9" t="s">
        <v>5</v>
      </c>
      <c r="E1" s="9" t="s">
        <v>6</v>
      </c>
      <c r="F1" s="9" t="s">
        <v>10</v>
      </c>
      <c r="G1" s="9" t="s">
        <v>11</v>
      </c>
    </row>
    <row r="2" spans="1:15">
      <c r="A2" s="10" t="s">
        <v>7</v>
      </c>
      <c r="B2" s="44">
        <f t="shared" ref="B2:G2" si="0">B4+B5+B7+B11+B14+B15+B6+B13</f>
        <v>1866.2564102564102</v>
      </c>
      <c r="C2" s="44">
        <f t="shared" si="0"/>
        <v>1876.2564102564102</v>
      </c>
      <c r="D2" s="44">
        <f t="shared" si="0"/>
        <v>1889.5897435897436</v>
      </c>
      <c r="E2" s="44">
        <f t="shared" si="0"/>
        <v>1908.4230769230769</v>
      </c>
      <c r="F2" s="44">
        <f t="shared" si="0"/>
        <v>1926.2564102564102</v>
      </c>
      <c r="G2" s="44">
        <f t="shared" si="0"/>
        <v>1944.0897435897436</v>
      </c>
    </row>
    <row r="3" spans="1:15">
      <c r="A3" s="10" t="s">
        <v>32</v>
      </c>
      <c r="B3" s="44">
        <f t="shared" ref="B3:G3" si="1">B5+B6+B9+B11+B14+B15+B13</f>
        <v>17.794871794871796</v>
      </c>
      <c r="C3" s="44">
        <f t="shared" si="1"/>
        <v>29.256410256410255</v>
      </c>
      <c r="D3" s="44">
        <f t="shared" si="1"/>
        <v>44.051282051282051</v>
      </c>
      <c r="E3" s="44">
        <f t="shared" si="1"/>
        <v>-36.65384615384616</v>
      </c>
      <c r="F3" s="44">
        <f t="shared" si="1"/>
        <v>-17.358974358974358</v>
      </c>
      <c r="G3" s="44">
        <f t="shared" si="1"/>
        <v>1.935897435897445</v>
      </c>
      <c r="J3" s="10" t="s">
        <v>44</v>
      </c>
      <c r="K3" s="10" t="s">
        <v>45</v>
      </c>
      <c r="L3" s="10" t="s">
        <v>46</v>
      </c>
      <c r="M3" s="10" t="s">
        <v>47</v>
      </c>
    </row>
    <row r="4" spans="1:15">
      <c r="A4" s="10" t="s">
        <v>26</v>
      </c>
      <c r="B4" s="10">
        <v>1847</v>
      </c>
      <c r="C4" s="10">
        <v>1847</v>
      </c>
      <c r="D4" s="10">
        <v>1847</v>
      </c>
      <c r="E4" s="10">
        <v>1948</v>
      </c>
      <c r="F4" s="10">
        <v>1948</v>
      </c>
      <c r="G4" s="10">
        <v>1948</v>
      </c>
    </row>
    <row r="5" spans="1:15" ht="27">
      <c r="A5" s="12" t="s">
        <v>35</v>
      </c>
      <c r="B5" s="14">
        <v>-40</v>
      </c>
      <c r="C5" s="15">
        <v>-30</v>
      </c>
      <c r="D5" s="15">
        <v>-30</v>
      </c>
      <c r="E5" s="15">
        <v>-130</v>
      </c>
      <c r="F5" s="15">
        <v>-130</v>
      </c>
      <c r="G5" s="16">
        <v>-130</v>
      </c>
    </row>
    <row r="6" spans="1:15">
      <c r="A6" s="10" t="s">
        <v>30</v>
      </c>
      <c r="B6" s="17">
        <v>20</v>
      </c>
      <c r="C6" s="18">
        <v>20</v>
      </c>
      <c r="D6" s="18">
        <v>20</v>
      </c>
      <c r="E6" s="18">
        <v>20</v>
      </c>
      <c r="F6" s="18">
        <v>20</v>
      </c>
      <c r="G6" s="19">
        <v>20</v>
      </c>
    </row>
    <row r="7" spans="1:15">
      <c r="A7" s="33" t="s">
        <v>41</v>
      </c>
      <c r="B7" s="34">
        <f>1900*0.06/0.65*0.1/12*B8</f>
        <v>2.9230769230769234</v>
      </c>
      <c r="C7" s="35">
        <f t="shared" ref="C7:G9" si="2">1900*0.06/0.65*0.1/12*C8</f>
        <v>2.9230769230769234</v>
      </c>
      <c r="D7" s="35">
        <f t="shared" si="2"/>
        <v>2.9230769230769234</v>
      </c>
      <c r="E7" s="35">
        <f t="shared" si="2"/>
        <v>2.9230769230769234</v>
      </c>
      <c r="F7" s="35">
        <f t="shared" si="2"/>
        <v>2.9230769230769234</v>
      </c>
      <c r="G7" s="36">
        <f t="shared" si="2"/>
        <v>2.9230769230769234</v>
      </c>
    </row>
    <row r="8" spans="1:15">
      <c r="A8" s="37" t="s">
        <v>40</v>
      </c>
      <c r="B8" s="38">
        <v>2</v>
      </c>
      <c r="C8" s="39">
        <v>2</v>
      </c>
      <c r="D8" s="39">
        <v>2</v>
      </c>
      <c r="E8" s="39">
        <v>2</v>
      </c>
      <c r="F8" s="39">
        <v>2</v>
      </c>
      <c r="G8" s="40">
        <v>2</v>
      </c>
    </row>
    <row r="9" spans="1:15">
      <c r="A9" s="33" t="s">
        <v>43</v>
      </c>
      <c r="B9" s="41">
        <f>1900*0.06/0.65*0.1/12*B10</f>
        <v>1.4615384615384617</v>
      </c>
      <c r="C9" s="42">
        <f t="shared" si="2"/>
        <v>2.9230769230769234</v>
      </c>
      <c r="D9" s="42">
        <f t="shared" si="2"/>
        <v>4.384615384615385</v>
      </c>
      <c r="E9" s="42">
        <f t="shared" si="2"/>
        <v>5.8461538461538467</v>
      </c>
      <c r="F9" s="42">
        <f t="shared" si="2"/>
        <v>7.3076923076923084</v>
      </c>
      <c r="G9" s="43">
        <f t="shared" si="2"/>
        <v>8.7692307692307701</v>
      </c>
      <c r="J9" s="10" t="str">
        <f t="shared" ref="J9:O10" si="3">B1</f>
        <v>11月</v>
      </c>
      <c r="K9" s="10" t="str">
        <f t="shared" si="3"/>
        <v>12月</v>
      </c>
      <c r="L9" s="10" t="str">
        <f t="shared" si="3"/>
        <v>1月</v>
      </c>
      <c r="M9" s="10" t="str">
        <f t="shared" si="3"/>
        <v>2月</v>
      </c>
      <c r="N9" s="10" t="str">
        <f t="shared" si="3"/>
        <v>3月</v>
      </c>
      <c r="O9" s="10" t="str">
        <f t="shared" si="3"/>
        <v>4月</v>
      </c>
    </row>
    <row r="10" spans="1:15">
      <c r="A10" s="37" t="s">
        <v>42</v>
      </c>
      <c r="B10" s="38">
        <v>1</v>
      </c>
      <c r="C10" s="39">
        <v>2</v>
      </c>
      <c r="D10" s="39">
        <v>3</v>
      </c>
      <c r="E10" s="39">
        <v>4</v>
      </c>
      <c r="F10" s="39">
        <v>5</v>
      </c>
      <c r="G10" s="40">
        <v>6</v>
      </c>
      <c r="H10" s="27" t="str">
        <f>A1</f>
        <v>成本法</v>
      </c>
      <c r="I10" s="10" t="str">
        <f>A2</f>
        <v>一口价</v>
      </c>
      <c r="J10" s="26">
        <f t="shared" si="3"/>
        <v>1866.2564102564102</v>
      </c>
      <c r="K10" s="26">
        <f t="shared" si="3"/>
        <v>1876.2564102564102</v>
      </c>
      <c r="L10" s="26">
        <f t="shared" si="3"/>
        <v>1889.5897435897436</v>
      </c>
      <c r="M10" s="26">
        <f t="shared" si="3"/>
        <v>1908.4230769230769</v>
      </c>
      <c r="N10" s="26">
        <f t="shared" si="3"/>
        <v>1926.2564102564102</v>
      </c>
      <c r="O10" s="26">
        <f t="shared" si="3"/>
        <v>1944.0897435897436</v>
      </c>
    </row>
    <row r="11" spans="1:15">
      <c r="A11" s="10" t="s">
        <v>27</v>
      </c>
      <c r="B11" s="20">
        <f t="shared" ref="B11:G11" si="4">1600*0.1/12*B12</f>
        <v>13.333333333333334</v>
      </c>
      <c r="C11" s="21">
        <f t="shared" si="4"/>
        <v>13.333333333333334</v>
      </c>
      <c r="D11" s="21">
        <f t="shared" si="4"/>
        <v>26.666666666666668</v>
      </c>
      <c r="E11" s="21">
        <f t="shared" si="4"/>
        <v>40</v>
      </c>
      <c r="F11" s="21">
        <f t="shared" si="4"/>
        <v>53.333333333333336</v>
      </c>
      <c r="G11" s="22">
        <f t="shared" si="4"/>
        <v>66.666666666666671</v>
      </c>
      <c r="H11" s="27" t="str">
        <f>A19</f>
        <v>远期基差法</v>
      </c>
      <c r="I11" s="10" t="str">
        <f t="shared" ref="I11:O11" si="5">A20</f>
        <v>一口价</v>
      </c>
      <c r="J11" s="26">
        <f t="shared" si="5"/>
        <v>1866.2564102564102</v>
      </c>
      <c r="K11" s="26">
        <f t="shared" si="5"/>
        <v>1877.7179487179487</v>
      </c>
      <c r="L11" s="26">
        <f t="shared" si="5"/>
        <v>1894.1794871794871</v>
      </c>
      <c r="M11" s="26">
        <f t="shared" si="5"/>
        <v>1916.6410256410256</v>
      </c>
      <c r="N11" s="26">
        <f t="shared" si="5"/>
        <v>1943.102564102564</v>
      </c>
      <c r="O11" s="26">
        <f t="shared" si="5"/>
        <v>1969.5641025641025</v>
      </c>
    </row>
    <row r="12" spans="1:15">
      <c r="A12" s="28" t="s">
        <v>31</v>
      </c>
      <c r="B12" s="29">
        <v>1</v>
      </c>
      <c r="C12" s="30">
        <v>1</v>
      </c>
      <c r="D12" s="30">
        <v>2</v>
      </c>
      <c r="E12" s="30">
        <v>3</v>
      </c>
      <c r="F12" s="30">
        <v>4</v>
      </c>
      <c r="G12" s="31">
        <v>5</v>
      </c>
      <c r="H12" s="27"/>
    </row>
    <row r="13" spans="1:15">
      <c r="A13" s="10" t="s">
        <v>38</v>
      </c>
      <c r="B13" s="17">
        <v>0</v>
      </c>
      <c r="C13" s="18">
        <v>0</v>
      </c>
      <c r="D13" s="18">
        <v>0</v>
      </c>
      <c r="E13" s="18">
        <f>0.15*30</f>
        <v>4.5</v>
      </c>
      <c r="F13" s="18">
        <f>0.15*60</f>
        <v>9</v>
      </c>
      <c r="G13" s="19">
        <f>0.15*90</f>
        <v>13.5</v>
      </c>
      <c r="H13" s="27" t="str">
        <f>A1</f>
        <v>成本法</v>
      </c>
      <c r="I13" s="10" t="str">
        <f t="shared" ref="I13:O13" si="6">A3</f>
        <v>基差</v>
      </c>
      <c r="J13" s="26">
        <f t="shared" si="6"/>
        <v>17.794871794871796</v>
      </c>
      <c r="K13" s="26">
        <f t="shared" si="6"/>
        <v>29.256410256410255</v>
      </c>
      <c r="L13" s="26">
        <f t="shared" si="6"/>
        <v>44.051282051282051</v>
      </c>
      <c r="M13" s="26">
        <f t="shared" si="6"/>
        <v>-36.65384615384616</v>
      </c>
      <c r="N13" s="26">
        <f t="shared" si="6"/>
        <v>-17.358974358974358</v>
      </c>
      <c r="O13" s="26">
        <f t="shared" si="6"/>
        <v>1.935897435897445</v>
      </c>
    </row>
    <row r="14" spans="1:15">
      <c r="A14" s="10" t="s">
        <v>28</v>
      </c>
      <c r="B14" s="17">
        <v>3</v>
      </c>
      <c r="C14" s="18">
        <v>3</v>
      </c>
      <c r="D14" s="18">
        <v>3</v>
      </c>
      <c r="E14" s="18">
        <v>3</v>
      </c>
      <c r="F14" s="18">
        <v>3</v>
      </c>
      <c r="G14" s="19">
        <v>3</v>
      </c>
      <c r="H14" s="27" t="str">
        <f>A19</f>
        <v>远期基差法</v>
      </c>
      <c r="I14" s="10" t="str">
        <f>A21</f>
        <v>基差</v>
      </c>
      <c r="J14" s="26">
        <f t="shared" ref="J14:O14" si="7">B21</f>
        <v>17.794871794871796</v>
      </c>
      <c r="K14" s="26">
        <f t="shared" si="7"/>
        <v>27.794871794871796</v>
      </c>
      <c r="L14" s="26">
        <f t="shared" si="7"/>
        <v>42.794871794871796</v>
      </c>
      <c r="M14" s="26">
        <f t="shared" si="7"/>
        <v>-37.205128205128197</v>
      </c>
      <c r="N14" s="26">
        <f t="shared" si="7"/>
        <v>-12.205128205128204</v>
      </c>
      <c r="O14" s="26">
        <f t="shared" si="7"/>
        <v>12.794871794871794</v>
      </c>
    </row>
    <row r="15" spans="1:15">
      <c r="A15" s="10" t="s">
        <v>29</v>
      </c>
      <c r="B15" s="23">
        <v>20</v>
      </c>
      <c r="C15" s="24">
        <v>20</v>
      </c>
      <c r="D15" s="24">
        <v>20</v>
      </c>
      <c r="E15" s="24">
        <v>20</v>
      </c>
      <c r="F15" s="24">
        <v>20</v>
      </c>
      <c r="G15" s="25">
        <v>20</v>
      </c>
    </row>
    <row r="16" spans="1:15">
      <c r="A16" s="124" t="s">
        <v>34</v>
      </c>
      <c r="B16" s="124"/>
      <c r="C16" s="124"/>
      <c r="D16" s="124"/>
      <c r="E16" s="124"/>
      <c r="F16" s="124"/>
      <c r="G16" s="124"/>
    </row>
    <row r="17" spans="1:13">
      <c r="A17" s="124"/>
      <c r="B17" s="124"/>
      <c r="C17" s="124"/>
      <c r="D17" s="124"/>
      <c r="E17" s="124"/>
      <c r="F17" s="124"/>
      <c r="G17" s="124"/>
    </row>
    <row r="18" spans="1:13">
      <c r="A18" s="124"/>
      <c r="B18" s="124"/>
      <c r="C18" s="124"/>
      <c r="D18" s="124"/>
      <c r="E18" s="124"/>
      <c r="F18" s="124"/>
      <c r="G18" s="124"/>
      <c r="M18" s="10" t="s">
        <v>48</v>
      </c>
    </row>
    <row r="19" spans="1:13" ht="18.75">
      <c r="A19" s="13" t="s">
        <v>36</v>
      </c>
      <c r="B19" s="9" t="s">
        <v>2</v>
      </c>
      <c r="C19" s="9" t="s">
        <v>3</v>
      </c>
      <c r="D19" s="9" t="s">
        <v>5</v>
      </c>
      <c r="E19" s="9" t="s">
        <v>6</v>
      </c>
      <c r="F19" s="9" t="s">
        <v>10</v>
      </c>
      <c r="G19" s="9" t="s">
        <v>11</v>
      </c>
    </row>
    <row r="20" spans="1:13">
      <c r="A20" s="10" t="s">
        <v>7</v>
      </c>
      <c r="B20" s="11">
        <f t="shared" ref="B20:G20" si="8">B22+B23+B24+B25+B29+B31+B32</f>
        <v>1866.2564102564102</v>
      </c>
      <c r="C20" s="11">
        <f t="shared" si="8"/>
        <v>1877.7179487179487</v>
      </c>
      <c r="D20" s="11">
        <f t="shared" si="8"/>
        <v>1894.1794871794871</v>
      </c>
      <c r="E20" s="11">
        <f t="shared" si="8"/>
        <v>1916.6410256410256</v>
      </c>
      <c r="F20" s="11">
        <f t="shared" si="8"/>
        <v>1943.102564102564</v>
      </c>
      <c r="G20" s="11">
        <f t="shared" si="8"/>
        <v>1969.5641025641025</v>
      </c>
    </row>
    <row r="21" spans="1:13">
      <c r="A21" s="10" t="s">
        <v>8</v>
      </c>
      <c r="B21" s="11">
        <f t="shared" ref="B21:G21" si="9">B23+B24+B27+B29+B31+B32</f>
        <v>17.794871794871796</v>
      </c>
      <c r="C21" s="11">
        <f t="shared" si="9"/>
        <v>27.794871794871796</v>
      </c>
      <c r="D21" s="11">
        <f t="shared" si="9"/>
        <v>42.794871794871796</v>
      </c>
      <c r="E21" s="11">
        <f t="shared" si="9"/>
        <v>-37.205128205128197</v>
      </c>
      <c r="F21" s="11">
        <f t="shared" si="9"/>
        <v>-12.205128205128204</v>
      </c>
      <c r="G21" s="11">
        <f t="shared" si="9"/>
        <v>12.794871794871794</v>
      </c>
    </row>
    <row r="22" spans="1:13">
      <c r="A22" s="10" t="s">
        <v>26</v>
      </c>
      <c r="B22" s="14">
        <f t="shared" ref="B22:G22" si="10">B4</f>
        <v>1847</v>
      </c>
      <c r="C22" s="14">
        <f t="shared" si="10"/>
        <v>1847</v>
      </c>
      <c r="D22" s="14">
        <f t="shared" si="10"/>
        <v>1847</v>
      </c>
      <c r="E22" s="14">
        <f t="shared" si="10"/>
        <v>1948</v>
      </c>
      <c r="F22" s="14">
        <f t="shared" si="10"/>
        <v>1948</v>
      </c>
      <c r="G22" s="14">
        <f t="shared" si="10"/>
        <v>1948</v>
      </c>
    </row>
    <row r="23" spans="1:13" ht="27">
      <c r="A23" s="12" t="s">
        <v>37</v>
      </c>
      <c r="B23" s="17">
        <v>-40</v>
      </c>
      <c r="C23" s="18">
        <v>-30</v>
      </c>
      <c r="D23" s="18">
        <v>-15</v>
      </c>
      <c r="E23" s="18">
        <v>-95</v>
      </c>
      <c r="F23" s="18">
        <v>-70</v>
      </c>
      <c r="G23" s="19">
        <v>-45</v>
      </c>
    </row>
    <row r="24" spans="1:13">
      <c r="A24" s="10" t="s">
        <v>30</v>
      </c>
      <c r="B24" s="17">
        <v>20</v>
      </c>
      <c r="C24" s="18">
        <v>20</v>
      </c>
      <c r="D24" s="18">
        <v>20</v>
      </c>
      <c r="E24" s="18">
        <v>20</v>
      </c>
      <c r="F24" s="18">
        <v>20</v>
      </c>
      <c r="G24" s="19">
        <v>20</v>
      </c>
    </row>
    <row r="25" spans="1:13">
      <c r="A25" s="33" t="s">
        <v>41</v>
      </c>
      <c r="B25" s="34">
        <f>1900*0.06/0.65*0.1/12*B26</f>
        <v>2.9230769230769234</v>
      </c>
      <c r="C25" s="35">
        <f t="shared" ref="C25:G27" si="11">1900*0.06/0.65*0.1/12*C26</f>
        <v>4.384615384615385</v>
      </c>
      <c r="D25" s="35">
        <f t="shared" si="11"/>
        <v>5.8461538461538467</v>
      </c>
      <c r="E25" s="35">
        <f t="shared" si="11"/>
        <v>7.3076923076923084</v>
      </c>
      <c r="F25" s="35">
        <f t="shared" si="11"/>
        <v>8.7692307692307701</v>
      </c>
      <c r="G25" s="36">
        <f t="shared" si="11"/>
        <v>10.230769230769232</v>
      </c>
    </row>
    <row r="26" spans="1:13">
      <c r="A26" s="37" t="s">
        <v>40</v>
      </c>
      <c r="B26" s="38">
        <v>2</v>
      </c>
      <c r="C26" s="39">
        <v>3</v>
      </c>
      <c r="D26" s="39">
        <v>4</v>
      </c>
      <c r="E26" s="39">
        <v>5</v>
      </c>
      <c r="F26" s="39">
        <v>6</v>
      </c>
      <c r="G26" s="40">
        <v>7</v>
      </c>
    </row>
    <row r="27" spans="1:13">
      <c r="A27" s="33" t="s">
        <v>43</v>
      </c>
      <c r="B27" s="41">
        <f>1900*0.06/0.65*0.1/12*B28</f>
        <v>1.4615384615384617</v>
      </c>
      <c r="C27" s="42">
        <f t="shared" si="11"/>
        <v>1.4615384615384617</v>
      </c>
      <c r="D27" s="42">
        <f t="shared" si="11"/>
        <v>1.4615384615384617</v>
      </c>
      <c r="E27" s="42">
        <f t="shared" si="11"/>
        <v>1.4615384615384617</v>
      </c>
      <c r="F27" s="42">
        <f t="shared" si="11"/>
        <v>1.4615384615384617</v>
      </c>
      <c r="G27" s="43">
        <f t="shared" si="11"/>
        <v>1.4615384615384617</v>
      </c>
    </row>
    <row r="28" spans="1:13">
      <c r="A28" s="37" t="s">
        <v>42</v>
      </c>
      <c r="B28" s="38">
        <v>1</v>
      </c>
      <c r="C28" s="39">
        <v>1</v>
      </c>
      <c r="D28" s="39">
        <v>1</v>
      </c>
      <c r="E28" s="39">
        <v>1</v>
      </c>
      <c r="F28" s="39">
        <v>1</v>
      </c>
      <c r="G28" s="40">
        <v>1</v>
      </c>
    </row>
    <row r="29" spans="1:13">
      <c r="A29" s="10" t="s">
        <v>27</v>
      </c>
      <c r="B29" s="20">
        <f t="shared" ref="B29:G29" si="12">1600*0.1/12*B30</f>
        <v>13.333333333333334</v>
      </c>
      <c r="C29" s="21">
        <f t="shared" si="12"/>
        <v>13.333333333333334</v>
      </c>
      <c r="D29" s="21">
        <f t="shared" si="12"/>
        <v>13.333333333333334</v>
      </c>
      <c r="E29" s="21">
        <f t="shared" si="12"/>
        <v>13.333333333333334</v>
      </c>
      <c r="F29" s="21">
        <f t="shared" si="12"/>
        <v>13.333333333333334</v>
      </c>
      <c r="G29" s="22">
        <f t="shared" si="12"/>
        <v>13.333333333333334</v>
      </c>
    </row>
    <row r="30" spans="1:13">
      <c r="A30" s="28" t="s">
        <v>31</v>
      </c>
      <c r="B30" s="29">
        <v>1</v>
      </c>
      <c r="C30" s="30">
        <v>1</v>
      </c>
      <c r="D30" s="30">
        <v>1</v>
      </c>
      <c r="E30" s="30">
        <v>1</v>
      </c>
      <c r="F30" s="30">
        <v>1</v>
      </c>
      <c r="G30" s="31">
        <v>1</v>
      </c>
    </row>
    <row r="31" spans="1:13">
      <c r="A31" s="10" t="s">
        <v>28</v>
      </c>
      <c r="B31" s="17">
        <v>3</v>
      </c>
      <c r="C31" s="18">
        <v>3</v>
      </c>
      <c r="D31" s="18">
        <v>3</v>
      </c>
      <c r="E31" s="18">
        <v>3</v>
      </c>
      <c r="F31" s="18">
        <v>3</v>
      </c>
      <c r="G31" s="19">
        <v>3</v>
      </c>
    </row>
    <row r="32" spans="1:13">
      <c r="A32" s="10" t="s">
        <v>29</v>
      </c>
      <c r="B32" s="23">
        <v>20</v>
      </c>
      <c r="C32" s="24">
        <v>20</v>
      </c>
      <c r="D32" s="24">
        <v>20</v>
      </c>
      <c r="E32" s="24">
        <v>20</v>
      </c>
      <c r="F32" s="24">
        <v>20</v>
      </c>
      <c r="G32" s="25">
        <v>20</v>
      </c>
    </row>
  </sheetData>
  <mergeCells count="1">
    <mergeCell ref="A16:G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opLeftCell="A20" zoomScale="90" zoomScaleNormal="90" workbookViewId="0">
      <selection activeCell="A2" sqref="A2:G27"/>
    </sheetView>
  </sheetViews>
  <sheetFormatPr defaultRowHeight="16.5"/>
  <cols>
    <col min="1" max="1" width="12.75" style="47" bestFit="1" customWidth="1"/>
    <col min="2" max="2" width="14.125" style="47" bestFit="1" customWidth="1"/>
    <col min="3" max="6" width="14.125" style="47" customWidth="1"/>
    <col min="7" max="7" width="13.75" style="47" customWidth="1"/>
    <col min="8" max="8" width="28.875" style="47" customWidth="1"/>
    <col min="9" max="9" width="9" style="47"/>
    <col min="10" max="10" width="12.875" style="47" customWidth="1"/>
    <col min="11" max="11" width="10" style="47" bestFit="1" customWidth="1"/>
    <col min="12" max="15" width="9" style="47"/>
    <col min="16" max="16" width="17.375" style="47" customWidth="1"/>
    <col min="17" max="16384" width="9" style="47"/>
  </cols>
  <sheetData>
    <row r="1" spans="1:16">
      <c r="B1" s="47" t="s">
        <v>114</v>
      </c>
      <c r="C1" s="61">
        <v>43590</v>
      </c>
      <c r="D1" s="61">
        <f ca="1">TODAY()</f>
        <v>43728</v>
      </c>
      <c r="E1" s="47" t="s">
        <v>116</v>
      </c>
      <c r="F1" s="47">
        <v>1745</v>
      </c>
      <c r="G1" s="47" t="s">
        <v>118</v>
      </c>
      <c r="H1" s="47">
        <v>1806</v>
      </c>
    </row>
    <row r="2" spans="1:16">
      <c r="A2" s="135">
        <f ca="1">TODAY()</f>
        <v>43728</v>
      </c>
      <c r="B2" s="45" t="s">
        <v>122</v>
      </c>
      <c r="C2" s="67" t="s">
        <v>125</v>
      </c>
      <c r="D2" s="67" t="s">
        <v>113</v>
      </c>
      <c r="E2" s="67" t="s">
        <v>111</v>
      </c>
      <c r="F2" s="67" t="s">
        <v>121</v>
      </c>
      <c r="G2" s="67" t="s">
        <v>124</v>
      </c>
      <c r="H2" s="9" t="s">
        <v>72</v>
      </c>
      <c r="I2" s="132" t="s">
        <v>107</v>
      </c>
      <c r="J2" s="45"/>
      <c r="K2" s="46">
        <v>43394</v>
      </c>
      <c r="L2" s="46">
        <v>43395</v>
      </c>
      <c r="M2" s="46">
        <v>43396</v>
      </c>
      <c r="N2" s="46">
        <v>43397</v>
      </c>
      <c r="O2" s="46">
        <v>43398</v>
      </c>
      <c r="P2" s="59" t="s">
        <v>72</v>
      </c>
    </row>
    <row r="3" spans="1:16">
      <c r="A3" s="135"/>
      <c r="B3" s="70" t="s">
        <v>49</v>
      </c>
      <c r="C3" s="68"/>
      <c r="D3" s="68"/>
      <c r="E3" s="68"/>
      <c r="F3" s="72"/>
      <c r="G3" s="68"/>
      <c r="H3" s="129"/>
      <c r="I3" s="133"/>
      <c r="J3" s="59" t="s">
        <v>49</v>
      </c>
      <c r="K3" s="59">
        <v>1400</v>
      </c>
      <c r="L3" s="59">
        <v>1400</v>
      </c>
      <c r="M3" s="59">
        <v>1240</v>
      </c>
      <c r="N3" s="59">
        <v>1240</v>
      </c>
      <c r="O3" s="59">
        <v>1260</v>
      </c>
      <c r="P3" s="129"/>
    </row>
    <row r="4" spans="1:16">
      <c r="A4" s="135"/>
      <c r="B4" s="70" t="s">
        <v>101</v>
      </c>
      <c r="C4" s="68">
        <v>1661</v>
      </c>
      <c r="D4" s="68">
        <v>1843</v>
      </c>
      <c r="E4" s="68">
        <v>1790</v>
      </c>
      <c r="F4" s="68">
        <v>1745</v>
      </c>
      <c r="G4" s="68">
        <v>1828</v>
      </c>
      <c r="H4" s="131"/>
      <c r="I4" s="134"/>
      <c r="J4" s="59" t="s">
        <v>101</v>
      </c>
      <c r="K4" s="59">
        <v>1610</v>
      </c>
      <c r="L4" s="59">
        <v>1610</v>
      </c>
      <c r="M4" s="59">
        <v>1550</v>
      </c>
      <c r="N4" s="59">
        <v>1550</v>
      </c>
      <c r="O4" s="59">
        <v>1570</v>
      </c>
      <c r="P4" s="131"/>
    </row>
    <row r="5" spans="1:16">
      <c r="A5" s="125" t="s">
        <v>50</v>
      </c>
      <c r="B5" s="70" t="s">
        <v>119</v>
      </c>
      <c r="C5" s="68">
        <v>15</v>
      </c>
      <c r="D5" s="68">
        <v>15</v>
      </c>
      <c r="E5" s="68">
        <v>15</v>
      </c>
      <c r="F5" s="68">
        <v>15</v>
      </c>
      <c r="G5" s="68">
        <v>15</v>
      </c>
      <c r="H5" s="64"/>
      <c r="I5" s="129" t="s">
        <v>50</v>
      </c>
      <c r="J5" s="65" t="s">
        <v>120</v>
      </c>
      <c r="K5" s="65">
        <v>15</v>
      </c>
      <c r="L5" s="65">
        <v>15</v>
      </c>
      <c r="M5" s="65">
        <v>15</v>
      </c>
      <c r="N5" s="65">
        <v>15</v>
      </c>
      <c r="O5" s="65">
        <v>15</v>
      </c>
      <c r="P5" s="64"/>
    </row>
    <row r="6" spans="1:16">
      <c r="A6" s="125"/>
      <c r="B6" s="70" t="s">
        <v>65</v>
      </c>
      <c r="C6" s="68">
        <f>3+50</f>
        <v>53</v>
      </c>
      <c r="D6" s="68">
        <f>3.5</f>
        <v>3.5</v>
      </c>
      <c r="E6" s="68">
        <f>50+3.5</f>
        <v>53.5</v>
      </c>
      <c r="F6" s="68">
        <f>50+6</f>
        <v>56</v>
      </c>
      <c r="G6" s="68">
        <f>3+50</f>
        <v>53</v>
      </c>
      <c r="H6" s="126"/>
      <c r="I6" s="130"/>
      <c r="J6" s="59" t="s">
        <v>65</v>
      </c>
      <c r="K6" s="59">
        <f>50+5+6.7+5</f>
        <v>66.7</v>
      </c>
      <c r="L6" s="59">
        <f>50+5+6.7+5</f>
        <v>66.7</v>
      </c>
      <c r="M6" s="59">
        <f>50+5+6.7+5</f>
        <v>66.7</v>
      </c>
      <c r="N6" s="59">
        <f>50+5+6.7+5</f>
        <v>66.7</v>
      </c>
      <c r="O6" s="59">
        <f>50+5+6.7+5</f>
        <v>66.7</v>
      </c>
      <c r="P6" s="126" t="s">
        <v>108</v>
      </c>
    </row>
    <row r="7" spans="1:16">
      <c r="A7" s="125"/>
      <c r="B7" s="70" t="s">
        <v>66</v>
      </c>
      <c r="C7" s="68">
        <v>150</v>
      </c>
      <c r="D7" s="68">
        <v>140</v>
      </c>
      <c r="E7" s="68">
        <v>160</v>
      </c>
      <c r="F7" s="68">
        <v>150</v>
      </c>
      <c r="G7" s="68">
        <v>130</v>
      </c>
      <c r="H7" s="127"/>
      <c r="I7" s="130"/>
      <c r="J7" s="59" t="s">
        <v>66</v>
      </c>
      <c r="K7" s="59">
        <v>130</v>
      </c>
      <c r="L7" s="59">
        <v>130</v>
      </c>
      <c r="M7" s="59">
        <v>130</v>
      </c>
      <c r="N7" s="59">
        <v>130</v>
      </c>
      <c r="O7" s="59">
        <v>130</v>
      </c>
      <c r="P7" s="127"/>
    </row>
    <row r="8" spans="1:16">
      <c r="A8" s="125"/>
      <c r="B8" s="48" t="s">
        <v>64</v>
      </c>
      <c r="C8" s="69">
        <f>C4+C6+C7+C5</f>
        <v>1879</v>
      </c>
      <c r="D8" s="69">
        <f>D4+D6+D7+D5</f>
        <v>2001.5</v>
      </c>
      <c r="E8" s="69">
        <f>E4+E6+E7+E5</f>
        <v>2018.5</v>
      </c>
      <c r="F8" s="69">
        <f>F4+F6+F7+F5</f>
        <v>1966</v>
      </c>
      <c r="G8" s="69">
        <f>G4+G6+G7+G5</f>
        <v>2026</v>
      </c>
      <c r="H8" s="128"/>
      <c r="I8" s="130"/>
      <c r="J8" s="48" t="s">
        <v>64</v>
      </c>
      <c r="K8" s="48">
        <f>K4+K6+K7+K5</f>
        <v>1821.7</v>
      </c>
      <c r="L8" s="48">
        <f>L4+L6+L7+L5</f>
        <v>1821.7</v>
      </c>
      <c r="M8" s="48">
        <f>M4+M6+M7+M5</f>
        <v>1761.7</v>
      </c>
      <c r="N8" s="48">
        <f>N4+N6+N7+N5</f>
        <v>1761.7</v>
      </c>
      <c r="O8" s="48">
        <f>O4+O6+O7+O5</f>
        <v>1781.7</v>
      </c>
      <c r="P8" s="128"/>
    </row>
    <row r="9" spans="1:16">
      <c r="A9" s="125"/>
      <c r="B9" s="70" t="s">
        <v>67</v>
      </c>
      <c r="C9" s="70">
        <f>3+10+15+50</f>
        <v>78</v>
      </c>
      <c r="D9" s="70">
        <v>0</v>
      </c>
      <c r="E9" s="70">
        <f>50+20+10</f>
        <v>80</v>
      </c>
      <c r="F9" s="70">
        <f>50+6+15+8.4</f>
        <v>79.400000000000006</v>
      </c>
      <c r="G9" s="70">
        <f>3+20+8.4+50</f>
        <v>81.400000000000006</v>
      </c>
      <c r="H9" s="126"/>
      <c r="I9" s="130"/>
      <c r="J9" s="59" t="s">
        <v>67</v>
      </c>
      <c r="K9" s="59">
        <f>50+27</f>
        <v>77</v>
      </c>
      <c r="L9" s="60">
        <f>50+27</f>
        <v>77</v>
      </c>
      <c r="M9" s="60">
        <f>50+27</f>
        <v>77</v>
      </c>
      <c r="N9" s="60">
        <f>50+27</f>
        <v>77</v>
      </c>
      <c r="O9" s="60">
        <f>50+27</f>
        <v>77</v>
      </c>
      <c r="P9" s="126" t="s">
        <v>102</v>
      </c>
    </row>
    <row r="10" spans="1:16">
      <c r="A10" s="125"/>
      <c r="B10" s="70" t="s">
        <v>68</v>
      </c>
      <c r="C10" s="70">
        <v>140</v>
      </c>
      <c r="D10" s="70">
        <v>86</v>
      </c>
      <c r="E10" s="70">
        <v>133</v>
      </c>
      <c r="F10" s="70">
        <v>85</v>
      </c>
      <c r="G10" s="70">
        <v>75</v>
      </c>
      <c r="H10" s="127"/>
      <c r="I10" s="130"/>
      <c r="J10" s="59" t="s">
        <v>68</v>
      </c>
      <c r="K10" s="59">
        <v>80</v>
      </c>
      <c r="L10" s="60">
        <v>80</v>
      </c>
      <c r="M10" s="60">
        <v>80</v>
      </c>
      <c r="N10" s="60">
        <v>80</v>
      </c>
      <c r="O10" s="60">
        <v>80</v>
      </c>
      <c r="P10" s="127"/>
    </row>
    <row r="11" spans="1:16">
      <c r="A11" s="125"/>
      <c r="B11" s="48" t="s">
        <v>69</v>
      </c>
      <c r="C11" s="66">
        <f>C4+C9+C10+C5</f>
        <v>1894</v>
      </c>
      <c r="D11" s="66">
        <f>D4+D9+D10+D5</f>
        <v>1944</v>
      </c>
      <c r="E11" s="66">
        <f>E4+E9+E10+E5</f>
        <v>2018</v>
      </c>
      <c r="F11" s="66">
        <f>F4+F9+F10+F5</f>
        <v>1924.4</v>
      </c>
      <c r="G11" s="66">
        <f>G4+G9+G10+G5</f>
        <v>1999.4</v>
      </c>
      <c r="H11" s="128"/>
      <c r="I11" s="130"/>
      <c r="J11" s="48" t="s">
        <v>69</v>
      </c>
      <c r="K11" s="48">
        <f>K4+K9+K10+K5</f>
        <v>1782</v>
      </c>
      <c r="L11" s="48">
        <f>L4+L9+L10+L5</f>
        <v>1782</v>
      </c>
      <c r="M11" s="48">
        <f>M4+M9+M10+M5</f>
        <v>1722</v>
      </c>
      <c r="N11" s="48">
        <f>N4+N9+N10+N5</f>
        <v>1722</v>
      </c>
      <c r="O11" s="48">
        <f>O4+O9+O10+O5</f>
        <v>1742</v>
      </c>
      <c r="P11" s="128"/>
    </row>
    <row r="12" spans="1:16" ht="33">
      <c r="A12" s="125"/>
      <c r="B12" s="49" t="s">
        <v>62</v>
      </c>
      <c r="C12" s="49">
        <f>$F$1</f>
        <v>1745</v>
      </c>
      <c r="D12" s="49">
        <f>$F$1</f>
        <v>1745</v>
      </c>
      <c r="E12" s="49">
        <f>$F$1</f>
        <v>1745</v>
      </c>
      <c r="F12" s="49">
        <f>$F$1</f>
        <v>1745</v>
      </c>
      <c r="G12" s="49">
        <f>$F$1</f>
        <v>1745</v>
      </c>
      <c r="H12" s="58"/>
      <c r="I12" s="131"/>
      <c r="J12" s="49" t="s">
        <v>62</v>
      </c>
      <c r="K12" s="49">
        <v>1770</v>
      </c>
      <c r="L12" s="49">
        <v>1780</v>
      </c>
      <c r="M12" s="49">
        <v>1790</v>
      </c>
      <c r="N12" s="49">
        <v>1800</v>
      </c>
      <c r="O12" s="49">
        <v>1800</v>
      </c>
      <c r="P12" s="58" t="s">
        <v>106</v>
      </c>
    </row>
    <row r="13" spans="1:16">
      <c r="A13" s="125" t="s">
        <v>51</v>
      </c>
      <c r="B13" s="70" t="s">
        <v>52</v>
      </c>
      <c r="C13" s="70">
        <v>4</v>
      </c>
      <c r="D13" s="70">
        <v>4</v>
      </c>
      <c r="E13" s="70">
        <v>4</v>
      </c>
      <c r="F13" s="70">
        <v>4</v>
      </c>
      <c r="G13" s="70">
        <v>4</v>
      </c>
      <c r="H13" s="126"/>
      <c r="I13" s="125" t="s">
        <v>51</v>
      </c>
      <c r="J13" s="59" t="s">
        <v>52</v>
      </c>
      <c r="K13" s="59">
        <v>4</v>
      </c>
      <c r="L13" s="59">
        <v>4</v>
      </c>
      <c r="M13" s="59">
        <v>4</v>
      </c>
      <c r="N13" s="59">
        <v>4</v>
      </c>
      <c r="O13" s="59">
        <v>4</v>
      </c>
      <c r="P13" s="126" t="s">
        <v>103</v>
      </c>
    </row>
    <row r="14" spans="1:16">
      <c r="A14" s="125"/>
      <c r="B14" s="70" t="s">
        <v>53</v>
      </c>
      <c r="C14" s="70">
        <v>5</v>
      </c>
      <c r="D14" s="70">
        <v>5</v>
      </c>
      <c r="E14" s="70">
        <v>5</v>
      </c>
      <c r="F14" s="70">
        <v>5</v>
      </c>
      <c r="G14" s="70">
        <v>5</v>
      </c>
      <c r="H14" s="127"/>
      <c r="I14" s="125"/>
      <c r="J14" s="59" t="s">
        <v>53</v>
      </c>
      <c r="K14" s="59">
        <v>5</v>
      </c>
      <c r="L14" s="59">
        <v>5</v>
      </c>
      <c r="M14" s="59">
        <v>5</v>
      </c>
      <c r="N14" s="59">
        <v>5</v>
      </c>
      <c r="O14" s="59">
        <v>5</v>
      </c>
      <c r="P14" s="127"/>
    </row>
    <row r="15" spans="1:16">
      <c r="A15" s="125"/>
      <c r="B15" s="70" t="s">
        <v>70</v>
      </c>
      <c r="C15" s="50">
        <f ca="1">C4*0.1*($C$1-$D$1)/365</f>
        <v>-62.799452054794529</v>
      </c>
      <c r="D15" s="50">
        <f ca="1">D4*0.1*($C$1-$D$1)/365</f>
        <v>-69.68054794520549</v>
      </c>
      <c r="E15" s="50">
        <f ca="1">E4*0.1*($C$1-$D$1)/365</f>
        <v>-67.676712328767124</v>
      </c>
      <c r="F15" s="50">
        <f ca="1">F4*0.1*($C$1-$D$1)/365</f>
        <v>-65.975342465753428</v>
      </c>
      <c r="G15" s="50">
        <f ca="1">G4*0.1*($C$1-$D$1)/365</f>
        <v>-69.113424657534253</v>
      </c>
      <c r="H15" s="127"/>
      <c r="I15" s="125"/>
      <c r="J15" s="59" t="s">
        <v>70</v>
      </c>
      <c r="K15" s="50">
        <f>K4*0.1*2.5/12</f>
        <v>33.541666666666664</v>
      </c>
      <c r="L15" s="50">
        <f>L4*0.1*2.5/12</f>
        <v>33.541666666666664</v>
      </c>
      <c r="M15" s="50">
        <f>M4*0.1*2.5/12</f>
        <v>32.291666666666664</v>
      </c>
      <c r="N15" s="50">
        <f>N4*0.1*2.5/12</f>
        <v>32.291666666666664</v>
      </c>
      <c r="O15" s="50">
        <f>O4*0.1*2.5/12</f>
        <v>32.708333333333336</v>
      </c>
      <c r="P15" s="127"/>
    </row>
    <row r="16" spans="1:16">
      <c r="A16" s="125"/>
      <c r="B16" s="70" t="s">
        <v>71</v>
      </c>
      <c r="C16" s="50">
        <f ca="1">C26*0.2*0.1*($C$1-$D$1)/365</f>
        <v>-13.65632876712329</v>
      </c>
      <c r="D16" s="50">
        <f ca="1">D26*0.2*0.1*($C$1-$D$1)/365</f>
        <v>-13.65632876712329</v>
      </c>
      <c r="E16" s="50">
        <f ca="1">E26*0.2*0.1*($C$1-$D$1)/365</f>
        <v>-13.65632876712329</v>
      </c>
      <c r="F16" s="50">
        <f ca="1">F26*0.2*0.1*($C$1-$D$1)/365</f>
        <v>-13.65632876712329</v>
      </c>
      <c r="G16" s="50">
        <f ca="1">G26*0.2*0.1*($C$1-$D$1)/365</f>
        <v>-13.65632876712329</v>
      </c>
      <c r="H16" s="127"/>
      <c r="I16" s="125"/>
      <c r="J16" s="59" t="s">
        <v>71</v>
      </c>
      <c r="K16" s="50">
        <f>K26*0.2*0.1*2.5/12</f>
        <v>7.729166666666667</v>
      </c>
      <c r="L16" s="50">
        <f>L26*0.2*0.1*2.5/12</f>
        <v>7.7250000000000014</v>
      </c>
      <c r="M16" s="50">
        <f>M26*0.2*0.1*2.5/12</f>
        <v>7.729166666666667</v>
      </c>
      <c r="N16" s="50">
        <f>N26*0.2*0.1*2.5/12</f>
        <v>7.7708333333333348</v>
      </c>
      <c r="O16" s="50">
        <f>O26*0.2*0.1*2.5/12</f>
        <v>7.791666666666667</v>
      </c>
      <c r="P16" s="127"/>
    </row>
    <row r="17" spans="1:16">
      <c r="A17" s="125"/>
      <c r="B17" s="70" t="s">
        <v>54</v>
      </c>
      <c r="C17" s="50">
        <f ca="1">SUM(C13:C16)</f>
        <v>-67.455780821917813</v>
      </c>
      <c r="D17" s="50">
        <f ca="1">SUM(D13:D16)</f>
        <v>-74.336876712328774</v>
      </c>
      <c r="E17" s="50">
        <f ca="1">SUM(E13:E16)</f>
        <v>-72.333041095890408</v>
      </c>
      <c r="F17" s="50">
        <f ca="1">SUM(F13:F16)</f>
        <v>-70.631671232876712</v>
      </c>
      <c r="G17" s="50">
        <f ca="1">SUM(G13:G16)</f>
        <v>-73.769753424657537</v>
      </c>
      <c r="H17" s="128"/>
      <c r="I17" s="125"/>
      <c r="J17" s="59" t="s">
        <v>54</v>
      </c>
      <c r="K17" s="50">
        <f>SUM(K13:K16)</f>
        <v>50.270833333333329</v>
      </c>
      <c r="L17" s="50">
        <f>SUM(L13:L16)</f>
        <v>50.266666666666666</v>
      </c>
      <c r="M17" s="50">
        <f>SUM(M13:M16)</f>
        <v>49.020833333333329</v>
      </c>
      <c r="N17" s="50">
        <f>SUM(N13:N16)</f>
        <v>49.0625</v>
      </c>
      <c r="O17" s="50">
        <f>SUM(O13:O16)</f>
        <v>49.5</v>
      </c>
      <c r="P17" s="128"/>
    </row>
    <row r="18" spans="1:16">
      <c r="A18" s="125" t="s">
        <v>61</v>
      </c>
      <c r="B18" s="70" t="s">
        <v>75</v>
      </c>
      <c r="C18" s="70">
        <v>15</v>
      </c>
      <c r="D18" s="70">
        <v>15</v>
      </c>
      <c r="E18" s="70">
        <v>15</v>
      </c>
      <c r="F18" s="70">
        <v>15</v>
      </c>
      <c r="G18" s="70">
        <v>15</v>
      </c>
      <c r="H18" s="129"/>
      <c r="I18" s="125" t="s">
        <v>61</v>
      </c>
      <c r="J18" s="59" t="s">
        <v>75</v>
      </c>
      <c r="K18" s="59">
        <v>15</v>
      </c>
      <c r="L18" s="59">
        <v>15</v>
      </c>
      <c r="M18" s="59">
        <v>15</v>
      </c>
      <c r="N18" s="59">
        <v>15</v>
      </c>
      <c r="O18" s="59">
        <v>15</v>
      </c>
      <c r="P18" s="129"/>
    </row>
    <row r="19" spans="1:16">
      <c r="A19" s="125"/>
      <c r="B19" s="70" t="s">
        <v>63</v>
      </c>
      <c r="C19" s="70">
        <v>5</v>
      </c>
      <c r="D19" s="70">
        <v>5</v>
      </c>
      <c r="E19" s="70">
        <v>5</v>
      </c>
      <c r="F19" s="70">
        <v>5</v>
      </c>
      <c r="G19" s="70">
        <v>5</v>
      </c>
      <c r="H19" s="130"/>
      <c r="I19" s="125"/>
      <c r="J19" s="59" t="s">
        <v>63</v>
      </c>
      <c r="K19" s="59">
        <v>5</v>
      </c>
      <c r="L19" s="59">
        <v>5</v>
      </c>
      <c r="M19" s="59">
        <v>5</v>
      </c>
      <c r="N19" s="59">
        <v>5</v>
      </c>
      <c r="O19" s="59">
        <v>5</v>
      </c>
      <c r="P19" s="130"/>
    </row>
    <row r="20" spans="1:16">
      <c r="A20" s="125"/>
      <c r="B20" s="70" t="s">
        <v>55</v>
      </c>
      <c r="C20" s="70">
        <v>1</v>
      </c>
      <c r="D20" s="70">
        <v>1</v>
      </c>
      <c r="E20" s="70">
        <v>1</v>
      </c>
      <c r="F20" s="70">
        <v>1</v>
      </c>
      <c r="G20" s="70">
        <v>1</v>
      </c>
      <c r="H20" s="130"/>
      <c r="I20" s="125"/>
      <c r="J20" s="59" t="s">
        <v>55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130"/>
    </row>
    <row r="21" spans="1:16">
      <c r="A21" s="125"/>
      <c r="B21" s="70" t="s">
        <v>56</v>
      </c>
      <c r="C21" s="70">
        <v>1</v>
      </c>
      <c r="D21" s="70">
        <v>1</v>
      </c>
      <c r="E21" s="70">
        <v>1</v>
      </c>
      <c r="F21" s="70">
        <v>1</v>
      </c>
      <c r="G21" s="70">
        <v>1</v>
      </c>
      <c r="H21" s="130"/>
      <c r="I21" s="125"/>
      <c r="J21" s="59" t="s">
        <v>56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130"/>
    </row>
    <row r="22" spans="1:16">
      <c r="A22" s="125"/>
      <c r="B22" s="70" t="s">
        <v>57</v>
      </c>
      <c r="C22" s="50">
        <v>0.15</v>
      </c>
      <c r="D22" s="50">
        <v>0.15</v>
      </c>
      <c r="E22" s="50">
        <v>0.15</v>
      </c>
      <c r="F22" s="50">
        <v>0.15</v>
      </c>
      <c r="G22" s="50">
        <v>0.15</v>
      </c>
      <c r="H22" s="130"/>
      <c r="I22" s="125"/>
      <c r="J22" s="59" t="s">
        <v>57</v>
      </c>
      <c r="K22" s="50">
        <v>0.15</v>
      </c>
      <c r="L22" s="50">
        <v>0.15</v>
      </c>
      <c r="M22" s="50">
        <v>0.15</v>
      </c>
      <c r="N22" s="50">
        <v>0.15</v>
      </c>
      <c r="O22" s="50">
        <v>0.15</v>
      </c>
      <c r="P22" s="130"/>
    </row>
    <row r="23" spans="1:16">
      <c r="A23" s="125"/>
      <c r="B23" s="70" t="s">
        <v>58</v>
      </c>
      <c r="C23" s="50">
        <f>SUM(C18:C22)</f>
        <v>22.15</v>
      </c>
      <c r="D23" s="50">
        <f>SUM(D18:D22)</f>
        <v>22.15</v>
      </c>
      <c r="E23" s="50">
        <f>SUM(E18:E22)</f>
        <v>22.15</v>
      </c>
      <c r="F23" s="50">
        <f>SUM(F18:F22)</f>
        <v>22.15</v>
      </c>
      <c r="G23" s="50">
        <f>SUM(G18:G22)</f>
        <v>22.15</v>
      </c>
      <c r="H23" s="130"/>
      <c r="I23" s="125"/>
      <c r="J23" s="59" t="s">
        <v>58</v>
      </c>
      <c r="K23" s="50">
        <f>SUM(K18:K22)</f>
        <v>22.15</v>
      </c>
      <c r="L23" s="50">
        <f>SUM(L18:L22)</f>
        <v>22.15</v>
      </c>
      <c r="M23" s="50">
        <f>SUM(M18:M22)</f>
        <v>22.15</v>
      </c>
      <c r="N23" s="50">
        <f>SUM(N18:N22)</f>
        <v>22.15</v>
      </c>
      <c r="O23" s="50">
        <f>SUM(O18:O22)</f>
        <v>22.15</v>
      </c>
      <c r="P23" s="130"/>
    </row>
    <row r="24" spans="1:16">
      <c r="A24" s="125"/>
      <c r="B24" s="51" t="s">
        <v>73</v>
      </c>
      <c r="C24" s="52">
        <f ca="1">C23+C17+C8</f>
        <v>1833.6942191780822</v>
      </c>
      <c r="D24" s="52">
        <f ca="1">D23+D17+D8</f>
        <v>1949.3131232876713</v>
      </c>
      <c r="E24" s="52">
        <f ca="1">E23+E17+E8</f>
        <v>1968.3169589041097</v>
      </c>
      <c r="F24" s="52">
        <f ca="1">F23+F17+F8</f>
        <v>1917.5183287671232</v>
      </c>
      <c r="G24" s="52">
        <f ca="1">G23+G17+G8</f>
        <v>1974.3802465753424</v>
      </c>
      <c r="H24" s="130"/>
      <c r="I24" s="125"/>
      <c r="J24" s="51" t="s">
        <v>73</v>
      </c>
      <c r="K24" s="52">
        <f>K23+K17+K8</f>
        <v>1894.1208333333334</v>
      </c>
      <c r="L24" s="52">
        <f>L23+L17+L8</f>
        <v>1894.1166666666668</v>
      </c>
      <c r="M24" s="52">
        <f>M23+M17+M8</f>
        <v>1832.8708333333334</v>
      </c>
      <c r="N24" s="52">
        <f>N23+N17+N8</f>
        <v>1832.9125000000001</v>
      </c>
      <c r="O24" s="52">
        <f>O23+O17+O8</f>
        <v>1853.3500000000001</v>
      </c>
      <c r="P24" s="130"/>
    </row>
    <row r="25" spans="1:16">
      <c r="A25" s="125"/>
      <c r="B25" s="51" t="s">
        <v>74</v>
      </c>
      <c r="C25" s="52">
        <f ca="1">C11+C17+C23+5</f>
        <v>1853.6942191780822</v>
      </c>
      <c r="D25" s="52">
        <f ca="1">D11+D17+D23+5</f>
        <v>1896.8131232876713</v>
      </c>
      <c r="E25" s="52">
        <f ca="1">E11+E17+E23+5</f>
        <v>1972.8169589041097</v>
      </c>
      <c r="F25" s="52">
        <f ca="1">F11+F17+F23+5</f>
        <v>1880.9183287671235</v>
      </c>
      <c r="G25" s="52">
        <f ca="1">G11+G17+G23+5</f>
        <v>1952.7802465753427</v>
      </c>
      <c r="H25" s="130"/>
      <c r="I25" s="125"/>
      <c r="J25" s="51" t="s">
        <v>74</v>
      </c>
      <c r="K25" s="52">
        <f>K11+K17+K23+5</f>
        <v>1859.4208333333333</v>
      </c>
      <c r="L25" s="52">
        <f>L11+L17+L23+5</f>
        <v>1859.4166666666667</v>
      </c>
      <c r="M25" s="52">
        <f>M11+M17+M23+5</f>
        <v>1798.1708333333333</v>
      </c>
      <c r="N25" s="52">
        <f>N11+N17+N23+5</f>
        <v>1798.2125000000001</v>
      </c>
      <c r="O25" s="52">
        <f>O11+O17+O23+5</f>
        <v>1818.65</v>
      </c>
      <c r="P25" s="130"/>
    </row>
    <row r="26" spans="1:16">
      <c r="A26" s="125"/>
      <c r="B26" s="53" t="s">
        <v>59</v>
      </c>
      <c r="C26" s="53">
        <f>$H$1</f>
        <v>1806</v>
      </c>
      <c r="D26" s="53">
        <f>$H$1</f>
        <v>1806</v>
      </c>
      <c r="E26" s="53">
        <f>$H$1</f>
        <v>1806</v>
      </c>
      <c r="F26" s="53">
        <f>$H$1</f>
        <v>1806</v>
      </c>
      <c r="G26" s="53">
        <f>$H$1</f>
        <v>1806</v>
      </c>
      <c r="H26" s="130"/>
      <c r="I26" s="125"/>
      <c r="J26" s="53" t="s">
        <v>59</v>
      </c>
      <c r="K26" s="53">
        <v>1855</v>
      </c>
      <c r="L26" s="53">
        <v>1854</v>
      </c>
      <c r="M26" s="53">
        <v>1855</v>
      </c>
      <c r="N26" s="53">
        <v>1865</v>
      </c>
      <c r="O26" s="53">
        <v>1870</v>
      </c>
      <c r="P26" s="130"/>
    </row>
    <row r="27" spans="1:16" ht="21">
      <c r="A27" s="125"/>
      <c r="B27" s="54" t="s">
        <v>60</v>
      </c>
      <c r="C27" s="55">
        <f ca="1">C26-C25</f>
        <v>-47.694219178082221</v>
      </c>
      <c r="D27" s="55">
        <f ca="1">D26-D25</f>
        <v>-90.81312328767126</v>
      </c>
      <c r="E27" s="55">
        <f ca="1">E26-E25</f>
        <v>-166.8169589041097</v>
      </c>
      <c r="F27" s="55">
        <f ca="1">F26-F25</f>
        <v>-74.918328767123512</v>
      </c>
      <c r="G27" s="55">
        <f ca="1">G26-G25</f>
        <v>-146.78024657534274</v>
      </c>
      <c r="H27" s="131"/>
      <c r="I27" s="125"/>
      <c r="J27" s="54" t="s">
        <v>60</v>
      </c>
      <c r="K27" s="55">
        <f>K26-K24</f>
        <v>-39.120833333333394</v>
      </c>
      <c r="L27" s="55">
        <f>L26-L24</f>
        <v>-40.116666666666788</v>
      </c>
      <c r="M27" s="55">
        <f>M26-M24</f>
        <v>22.129166666666606</v>
      </c>
      <c r="N27" s="55">
        <f>N26-N24</f>
        <v>32.087499999999864</v>
      </c>
      <c r="O27" s="55">
        <f>O26-O24</f>
        <v>16.649999999999864</v>
      </c>
      <c r="P27" s="131"/>
    </row>
    <row r="28" spans="1:16">
      <c r="A28" s="56" t="s">
        <v>77</v>
      </c>
    </row>
    <row r="29" spans="1:16">
      <c r="A29" s="56" t="s">
        <v>76</v>
      </c>
    </row>
    <row r="30" spans="1:16">
      <c r="A30" s="57" t="s">
        <v>78</v>
      </c>
    </row>
    <row r="31" spans="1:16">
      <c r="A31" s="132">
        <f ca="1">TODAY()</f>
        <v>43728</v>
      </c>
      <c r="B31" s="45"/>
      <c r="C31" s="62" t="s">
        <v>109</v>
      </c>
      <c r="D31" s="62" t="s">
        <v>112</v>
      </c>
      <c r="E31" s="62" t="s">
        <v>110</v>
      </c>
      <c r="F31" s="62" t="s">
        <v>123</v>
      </c>
      <c r="G31" s="62"/>
      <c r="H31" s="63" t="s">
        <v>94</v>
      </c>
    </row>
    <row r="32" spans="1:16">
      <c r="A32" s="133"/>
      <c r="B32" s="9" t="s">
        <v>79</v>
      </c>
      <c r="C32" s="9">
        <v>1340</v>
      </c>
      <c r="D32" s="9">
        <v>1438</v>
      </c>
      <c r="E32" s="9">
        <v>1365</v>
      </c>
      <c r="F32" s="9">
        <v>1378</v>
      </c>
      <c r="G32" s="9">
        <v>1260</v>
      </c>
      <c r="H32" s="129" t="s">
        <v>115</v>
      </c>
    </row>
    <row r="33" spans="1:8">
      <c r="A33" s="134"/>
      <c r="B33" s="9" t="s">
        <v>104</v>
      </c>
      <c r="C33" s="9">
        <v>1650</v>
      </c>
      <c r="D33" s="9">
        <v>1784</v>
      </c>
      <c r="E33" s="9">
        <v>1710</v>
      </c>
      <c r="F33" s="9">
        <v>1730</v>
      </c>
      <c r="G33" s="9">
        <v>1570</v>
      </c>
      <c r="H33" s="131"/>
    </row>
    <row r="34" spans="1:8" ht="13.5" customHeight="1">
      <c r="A34" s="129" t="s">
        <v>95</v>
      </c>
      <c r="B34" s="9" t="s">
        <v>80</v>
      </c>
      <c r="C34" s="9">
        <f>10+12</f>
        <v>22</v>
      </c>
      <c r="D34" s="9">
        <f>3.5+10+11</f>
        <v>24.5</v>
      </c>
      <c r="E34" s="9">
        <f>20+10+50</f>
        <v>80</v>
      </c>
      <c r="F34" s="9">
        <f>50+6+15+8.4</f>
        <v>79.400000000000006</v>
      </c>
      <c r="G34" s="9">
        <v>20</v>
      </c>
      <c r="H34" s="126" t="s">
        <v>117</v>
      </c>
    </row>
    <row r="35" spans="1:8">
      <c r="A35" s="130"/>
      <c r="B35" s="9" t="s">
        <v>81</v>
      </c>
      <c r="C35" s="9">
        <v>150</v>
      </c>
      <c r="D35" s="9">
        <v>86</v>
      </c>
      <c r="E35" s="9">
        <v>133</v>
      </c>
      <c r="F35" s="9">
        <v>85</v>
      </c>
      <c r="G35" s="9">
        <v>150</v>
      </c>
      <c r="H35" s="127"/>
    </row>
    <row r="36" spans="1:8">
      <c r="A36" s="130"/>
      <c r="B36" s="9" t="s">
        <v>82</v>
      </c>
      <c r="C36" s="9">
        <v>15</v>
      </c>
      <c r="D36" s="9">
        <v>15</v>
      </c>
      <c r="E36" s="9">
        <v>15</v>
      </c>
      <c r="F36" s="9">
        <v>15</v>
      </c>
      <c r="G36" s="9">
        <v>15</v>
      </c>
      <c r="H36" s="127"/>
    </row>
    <row r="37" spans="1:8">
      <c r="A37" s="130"/>
      <c r="B37" s="48" t="s">
        <v>98</v>
      </c>
      <c r="C37" s="48">
        <f>C33+C34+C35+C36</f>
        <v>1837</v>
      </c>
      <c r="D37" s="48">
        <f>D33+D34+D35+D36</f>
        <v>1909.5</v>
      </c>
      <c r="E37" s="48">
        <f>E33+E34+E35+E36</f>
        <v>1938</v>
      </c>
      <c r="F37" s="48">
        <f>F33+F34+F35+F36</f>
        <v>1909.4</v>
      </c>
      <c r="G37" s="48">
        <f>G33+G34+G35+G36</f>
        <v>1755</v>
      </c>
      <c r="H37" s="128"/>
    </row>
    <row r="38" spans="1:8">
      <c r="A38" s="131"/>
      <c r="B38" s="49" t="s">
        <v>99</v>
      </c>
      <c r="C38" s="49">
        <f>$F$1</f>
        <v>1745</v>
      </c>
      <c r="D38" s="49">
        <f>$F$1</f>
        <v>1745</v>
      </c>
      <c r="E38" s="49">
        <f>$F$1</f>
        <v>1745</v>
      </c>
      <c r="F38" s="49">
        <f>$F$1</f>
        <v>1745</v>
      </c>
      <c r="G38" s="49">
        <f>$F$1</f>
        <v>1745</v>
      </c>
      <c r="H38" s="58" t="s">
        <v>106</v>
      </c>
    </row>
    <row r="39" spans="1:8">
      <c r="A39" s="129" t="s">
        <v>96</v>
      </c>
      <c r="B39" s="9" t="s">
        <v>83</v>
      </c>
      <c r="C39" s="9">
        <v>4</v>
      </c>
      <c r="D39" s="9">
        <v>4</v>
      </c>
      <c r="E39" s="9">
        <v>4</v>
      </c>
      <c r="F39" s="9">
        <v>4</v>
      </c>
      <c r="G39" s="9">
        <v>4</v>
      </c>
      <c r="H39" s="126" t="s">
        <v>105</v>
      </c>
    </row>
    <row r="40" spans="1:8">
      <c r="A40" s="130"/>
      <c r="B40" s="9" t="s">
        <v>84</v>
      </c>
      <c r="C40" s="9">
        <v>5</v>
      </c>
      <c r="D40" s="9">
        <v>5</v>
      </c>
      <c r="E40" s="9">
        <v>5</v>
      </c>
      <c r="F40" s="9">
        <v>5</v>
      </c>
      <c r="G40" s="9">
        <v>5</v>
      </c>
      <c r="H40" s="127"/>
    </row>
    <row r="41" spans="1:8">
      <c r="A41" s="130"/>
      <c r="B41" s="9" t="s">
        <v>85</v>
      </c>
      <c r="C41" s="50">
        <f ca="1">C33*0.1*($C$1-$D$1)/365</f>
        <v>-62.38356164383562</v>
      </c>
      <c r="D41" s="50">
        <f ca="1">D33*0.1*($C$1-$D$1)/365</f>
        <v>-67.449863013698632</v>
      </c>
      <c r="E41" s="50">
        <f ca="1">E33*0.1*($C$1-$D$1)/365</f>
        <v>-64.652054794520552</v>
      </c>
      <c r="F41" s="50">
        <f ca="1">F33*0.1*($C$1-$D$1)/365</f>
        <v>-65.408219178082192</v>
      </c>
      <c r="G41" s="50">
        <f ca="1">G33*0.1*($C$1-$D$1)/365</f>
        <v>-59.358904109589041</v>
      </c>
      <c r="H41" s="127"/>
    </row>
    <row r="42" spans="1:8">
      <c r="A42" s="130"/>
      <c r="B42" s="9" t="s">
        <v>86</v>
      </c>
      <c r="C42" s="50">
        <f ca="1">C51*0.2*0.1*($C$1-$D$1)/365</f>
        <v>-13.65632876712329</v>
      </c>
      <c r="D42" s="50">
        <f ca="1">D51*0.2*0.1*($C$1-$D$1)/365</f>
        <v>-13.65632876712329</v>
      </c>
      <c r="E42" s="50">
        <f ca="1">E51*0.2*0.1*($C$1-$D$1)/365</f>
        <v>-13.65632876712329</v>
      </c>
      <c r="F42" s="50">
        <f ca="1">F51*0.2*0.1*($C$1-$D$1)/365</f>
        <v>-13.65632876712329</v>
      </c>
      <c r="G42" s="50">
        <f ca="1">G51*0.2*0.1*($C$1-$D$1)/365</f>
        <v>-13.65632876712329</v>
      </c>
      <c r="H42" s="127"/>
    </row>
    <row r="43" spans="1:8">
      <c r="A43" s="131"/>
      <c r="B43" s="9" t="s">
        <v>91</v>
      </c>
      <c r="C43" s="50">
        <f ca="1">SUM(C39:C42)</f>
        <v>-67.039890410958904</v>
      </c>
      <c r="D43" s="50">
        <f ca="1">SUM(D39:D42)</f>
        <v>-72.106191780821916</v>
      </c>
      <c r="E43" s="50">
        <f ca="1">SUM(E39:E42)</f>
        <v>-69.308383561643836</v>
      </c>
      <c r="F43" s="50">
        <f ca="1">SUM(F39:F42)</f>
        <v>-70.064547945205476</v>
      </c>
      <c r="G43" s="50">
        <f ca="1">SUM(G39:G42)</f>
        <v>-64.015232876712332</v>
      </c>
      <c r="H43" s="128"/>
    </row>
    <row r="44" spans="1:8" hidden="1">
      <c r="A44" s="129" t="s">
        <v>97</v>
      </c>
      <c r="B44" s="9" t="s">
        <v>92</v>
      </c>
      <c r="C44" s="9">
        <v>20</v>
      </c>
      <c r="D44" s="9">
        <v>20</v>
      </c>
      <c r="E44" s="9">
        <v>20</v>
      </c>
      <c r="F44" s="9">
        <v>20</v>
      </c>
      <c r="G44" s="9">
        <v>20</v>
      </c>
      <c r="H44" s="129"/>
    </row>
    <row r="45" spans="1:8" hidden="1">
      <c r="A45" s="130"/>
      <c r="B45" s="9" t="s">
        <v>87</v>
      </c>
      <c r="C45" s="9">
        <v>5</v>
      </c>
      <c r="D45" s="9">
        <v>5</v>
      </c>
      <c r="E45" s="9">
        <v>5</v>
      </c>
      <c r="F45" s="9">
        <v>5</v>
      </c>
      <c r="G45" s="9">
        <v>5</v>
      </c>
      <c r="H45" s="130"/>
    </row>
    <row r="46" spans="1:8" hidden="1">
      <c r="A46" s="130"/>
      <c r="B46" s="9" t="s">
        <v>88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130"/>
    </row>
    <row r="47" spans="1:8" hidden="1">
      <c r="A47" s="130"/>
      <c r="B47" s="9" t="s">
        <v>89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130"/>
    </row>
    <row r="48" spans="1:8" hidden="1">
      <c r="A48" s="130"/>
      <c r="B48" s="9" t="s">
        <v>90</v>
      </c>
      <c r="C48" s="9">
        <v>0.2</v>
      </c>
      <c r="D48" s="9">
        <v>0.2</v>
      </c>
      <c r="E48" s="9">
        <v>0.2</v>
      </c>
      <c r="F48" s="9">
        <v>0.2</v>
      </c>
      <c r="G48" s="9">
        <v>0.2</v>
      </c>
      <c r="H48" s="130"/>
    </row>
    <row r="49" spans="1:8">
      <c r="A49" s="130"/>
      <c r="B49" s="9" t="s">
        <v>93</v>
      </c>
      <c r="C49" s="9">
        <f>SUM(C44:C48)</f>
        <v>27.2</v>
      </c>
      <c r="D49" s="9">
        <f>SUM(D44:D48)</f>
        <v>27.2</v>
      </c>
      <c r="E49" s="9">
        <f>SUM(E44:E48)</f>
        <v>27.2</v>
      </c>
      <c r="F49" s="9">
        <f>SUM(F44:F48)</f>
        <v>27.2</v>
      </c>
      <c r="G49" s="9">
        <f>SUM(G44:G48)</f>
        <v>27.2</v>
      </c>
      <c r="H49" s="130"/>
    </row>
    <row r="50" spans="1:8">
      <c r="A50" s="130"/>
      <c r="B50" s="51" t="s">
        <v>74</v>
      </c>
      <c r="C50" s="52">
        <f ca="1">C37+C43+C49</f>
        <v>1797.1601095890412</v>
      </c>
      <c r="D50" s="52">
        <f ca="1">D37+D43+D49</f>
        <v>1864.5938082191781</v>
      </c>
      <c r="E50" s="52">
        <f ca="1">E37+E43+E49</f>
        <v>1895.8916164383561</v>
      </c>
      <c r="F50" s="52">
        <f ca="1">F37+F43+F49</f>
        <v>1866.5354520547946</v>
      </c>
      <c r="G50" s="52">
        <f ca="1">G37+G43+G49</f>
        <v>1718.1847671232877</v>
      </c>
      <c r="H50" s="130"/>
    </row>
    <row r="51" spans="1:8">
      <c r="A51" s="130"/>
      <c r="B51" s="53" t="s">
        <v>59</v>
      </c>
      <c r="C51" s="53">
        <f>$H$1</f>
        <v>1806</v>
      </c>
      <c r="D51" s="53">
        <f>$H$1</f>
        <v>1806</v>
      </c>
      <c r="E51" s="53">
        <f>$H$1</f>
        <v>1806</v>
      </c>
      <c r="F51" s="53">
        <f>$H$1</f>
        <v>1806</v>
      </c>
      <c r="G51" s="53">
        <f>$H$1</f>
        <v>1806</v>
      </c>
      <c r="H51" s="130"/>
    </row>
    <row r="52" spans="1:8" ht="21">
      <c r="A52" s="131"/>
      <c r="B52" s="54" t="s">
        <v>100</v>
      </c>
      <c r="C52" s="55">
        <f ca="1">C51-C50</f>
        <v>8.8398904109587875</v>
      </c>
      <c r="D52" s="55">
        <f ca="1">D51-D50</f>
        <v>-58.593808219178072</v>
      </c>
      <c r="E52" s="55">
        <f ca="1">E51-E50</f>
        <v>-89.891616438356095</v>
      </c>
      <c r="F52" s="55">
        <f ca="1">F51-F50</f>
        <v>-60.535452054794632</v>
      </c>
      <c r="G52" s="55">
        <f ca="1">G51-G50</f>
        <v>87.815232876712344</v>
      </c>
      <c r="H52" s="131"/>
    </row>
  </sheetData>
  <mergeCells count="26">
    <mergeCell ref="H32:H33"/>
    <mergeCell ref="H34:H37"/>
    <mergeCell ref="H39:H43"/>
    <mergeCell ref="H44:H52"/>
    <mergeCell ref="A31:A33"/>
    <mergeCell ref="A34:A38"/>
    <mergeCell ref="A39:A43"/>
    <mergeCell ref="A44:A52"/>
    <mergeCell ref="A2:A4"/>
    <mergeCell ref="H13:H17"/>
    <mergeCell ref="H18:H27"/>
    <mergeCell ref="H3:H4"/>
    <mergeCell ref="H6:H8"/>
    <mergeCell ref="H9:H11"/>
    <mergeCell ref="A18:A27"/>
    <mergeCell ref="A13:A17"/>
    <mergeCell ref="A5:A12"/>
    <mergeCell ref="I13:I17"/>
    <mergeCell ref="P13:P17"/>
    <mergeCell ref="I18:I27"/>
    <mergeCell ref="P18:P27"/>
    <mergeCell ref="I2:I4"/>
    <mergeCell ref="P3:P4"/>
    <mergeCell ref="P6:P8"/>
    <mergeCell ref="P9:P11"/>
    <mergeCell ref="I5:I12"/>
  </mergeCells>
  <phoneticPr fontId="2" type="noConversion"/>
  <pageMargins left="0.7" right="0.7" top="0.75" bottom="0.75" header="0.3" footer="0.3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topLeftCell="A22" workbookViewId="0">
      <selection activeCell="A29" sqref="A29:C39"/>
    </sheetView>
  </sheetViews>
  <sheetFormatPr defaultRowHeight="13.5"/>
  <cols>
    <col min="1" max="1" width="17" customWidth="1"/>
    <col min="2" max="2" width="13.125" customWidth="1"/>
    <col min="3" max="3" width="13.875" style="10" customWidth="1"/>
    <col min="4" max="4" width="10.5" bestFit="1" customWidth="1"/>
    <col min="6" max="6" width="9.5" bestFit="1" customWidth="1"/>
    <col min="10" max="10" width="11.625" bestFit="1" customWidth="1"/>
    <col min="11" max="12" width="10.25" bestFit="1" customWidth="1"/>
  </cols>
  <sheetData>
    <row r="1" spans="1:8">
      <c r="A1" s="136" t="s">
        <v>129</v>
      </c>
      <c r="B1" s="141"/>
    </row>
    <row r="2" spans="1:8">
      <c r="A2" s="74" t="s">
        <v>130</v>
      </c>
      <c r="B2" s="75">
        <v>0.08</v>
      </c>
    </row>
    <row r="3" spans="1:8">
      <c r="A3" s="74" t="s">
        <v>143</v>
      </c>
      <c r="B3" s="74">
        <f ca="1">MIN(B7-B6-5,MAX(20,(B7-B6)/2))</f>
        <v>53</v>
      </c>
      <c r="C3" s="10">
        <f ca="1">MIN(C7-B6-5,MAX(20,(C7-B6)/2))</f>
        <v>113.5</v>
      </c>
    </row>
    <row r="4" spans="1:8">
      <c r="A4" s="74" t="s">
        <v>144</v>
      </c>
      <c r="B4" s="74">
        <v>5</v>
      </c>
    </row>
    <row r="5" spans="1:8">
      <c r="A5" s="74" t="s">
        <v>141</v>
      </c>
      <c r="B5" s="74">
        <f ca="1">B7-B6</f>
        <v>106</v>
      </c>
      <c r="C5" s="10">
        <f ca="1">C7-B6</f>
        <v>227</v>
      </c>
      <c r="D5" s="73"/>
      <c r="F5" s="73"/>
    </row>
    <row r="6" spans="1:8">
      <c r="A6" s="74" t="s">
        <v>147</v>
      </c>
      <c r="B6" s="80">
        <f ca="1">TODAY()+1</f>
        <v>43729</v>
      </c>
      <c r="D6" s="73"/>
      <c r="F6" s="73"/>
    </row>
    <row r="7" spans="1:8">
      <c r="A7" s="74" t="s">
        <v>148</v>
      </c>
      <c r="B7" s="80">
        <v>43835</v>
      </c>
      <c r="C7" s="100">
        <v>43956</v>
      </c>
      <c r="D7" s="73"/>
      <c r="F7" s="73"/>
    </row>
    <row r="8" spans="1:8">
      <c r="A8" s="74" t="s">
        <v>131</v>
      </c>
      <c r="B8" s="104">
        <v>1920</v>
      </c>
    </row>
    <row r="9" spans="1:8">
      <c r="A9" s="76" t="s">
        <v>59</v>
      </c>
      <c r="B9" s="104">
        <v>1986</v>
      </c>
      <c r="C9" s="10">
        <f>B9+10</f>
        <v>1996</v>
      </c>
      <c r="D9" s="10">
        <f t="shared" ref="D9:G9" si="0">C9+10</f>
        <v>2006</v>
      </c>
      <c r="E9" s="10">
        <f t="shared" si="0"/>
        <v>2016</v>
      </c>
      <c r="F9" s="10">
        <f t="shared" si="0"/>
        <v>2026</v>
      </c>
      <c r="G9" s="10">
        <f t="shared" si="0"/>
        <v>2036</v>
      </c>
    </row>
    <row r="10" spans="1:8">
      <c r="A10" s="79"/>
      <c r="B10" s="79"/>
    </row>
    <row r="11" spans="1:8">
      <c r="A11" s="138" t="s">
        <v>132</v>
      </c>
      <c r="B11" s="15" t="s">
        <v>133</v>
      </c>
      <c r="C11" s="16">
        <v>15</v>
      </c>
      <c r="D11" s="16">
        <v>15</v>
      </c>
      <c r="E11" s="16">
        <v>15</v>
      </c>
      <c r="F11" s="16">
        <v>15</v>
      </c>
      <c r="G11" s="16">
        <v>15</v>
      </c>
      <c r="H11" s="16">
        <v>15</v>
      </c>
    </row>
    <row r="12" spans="1:8">
      <c r="A12" s="139"/>
      <c r="B12" s="18" t="s">
        <v>134</v>
      </c>
      <c r="C12" s="19">
        <v>5</v>
      </c>
      <c r="D12" s="19">
        <v>5</v>
      </c>
      <c r="E12" s="19">
        <v>5</v>
      </c>
      <c r="F12" s="19">
        <v>5</v>
      </c>
      <c r="G12" s="19">
        <v>5</v>
      </c>
      <c r="H12" s="19">
        <v>5</v>
      </c>
    </row>
    <row r="13" spans="1:8">
      <c r="A13" s="139"/>
      <c r="B13" s="18" t="s">
        <v>135</v>
      </c>
      <c r="C13" s="19">
        <v>2</v>
      </c>
      <c r="D13" s="19">
        <v>2</v>
      </c>
      <c r="E13" s="19">
        <v>2</v>
      </c>
      <c r="F13" s="19">
        <v>2</v>
      </c>
      <c r="G13" s="19">
        <v>2</v>
      </c>
      <c r="H13" s="19">
        <v>2</v>
      </c>
    </row>
    <row r="14" spans="1:8">
      <c r="A14" s="139"/>
      <c r="B14" s="18" t="s">
        <v>28</v>
      </c>
      <c r="C14" s="78">
        <f>$B$8*0.002</f>
        <v>3.84</v>
      </c>
      <c r="D14" s="78">
        <f t="shared" ref="D14:H14" si="1">$B$8*0.002</f>
        <v>3.84</v>
      </c>
      <c r="E14" s="78">
        <f t="shared" si="1"/>
        <v>3.84</v>
      </c>
      <c r="F14" s="78">
        <f t="shared" si="1"/>
        <v>3.84</v>
      </c>
      <c r="G14" s="78">
        <f t="shared" si="1"/>
        <v>3.84</v>
      </c>
      <c r="H14" s="78">
        <f t="shared" si="1"/>
        <v>3.84</v>
      </c>
    </row>
    <row r="15" spans="1:8">
      <c r="A15" s="139"/>
      <c r="B15" s="18" t="s">
        <v>145</v>
      </c>
      <c r="C15" s="19">
        <f ca="1">$B$3*0.2+$B$4*0.5</f>
        <v>13.100000000000001</v>
      </c>
      <c r="D15" s="19">
        <f t="shared" ref="D15:H15" ca="1" si="2">$B$3*0.2+$B$4*0.5</f>
        <v>13.100000000000001</v>
      </c>
      <c r="E15" s="19">
        <f t="shared" ca="1" si="2"/>
        <v>13.100000000000001</v>
      </c>
      <c r="F15" s="19">
        <f t="shared" ca="1" si="2"/>
        <v>13.100000000000001</v>
      </c>
      <c r="G15" s="19">
        <f t="shared" ca="1" si="2"/>
        <v>13.100000000000001</v>
      </c>
      <c r="H15" s="19">
        <f t="shared" ca="1" si="2"/>
        <v>13.100000000000001</v>
      </c>
    </row>
    <row r="16" spans="1:8">
      <c r="A16" s="139"/>
      <c r="B16" s="18" t="s">
        <v>56</v>
      </c>
      <c r="C16" s="19">
        <v>1.2</v>
      </c>
      <c r="D16" s="19">
        <v>1.2</v>
      </c>
      <c r="E16" s="19">
        <v>1.2</v>
      </c>
      <c r="F16" s="19">
        <v>1.2</v>
      </c>
      <c r="G16" s="19">
        <v>1.2</v>
      </c>
      <c r="H16" s="19">
        <v>1.2</v>
      </c>
    </row>
    <row r="17" spans="1:12">
      <c r="A17" s="140"/>
      <c r="B17" s="24" t="s">
        <v>136</v>
      </c>
      <c r="C17" s="81">
        <f ca="1">SUM(C11:C16)</f>
        <v>40.14</v>
      </c>
      <c r="D17" s="81">
        <f t="shared" ref="D17:H17" ca="1" si="3">SUM(D11:D16)</f>
        <v>40.14</v>
      </c>
      <c r="E17" s="81">
        <f t="shared" ca="1" si="3"/>
        <v>40.14</v>
      </c>
      <c r="F17" s="81">
        <f t="shared" ca="1" si="3"/>
        <v>40.14</v>
      </c>
      <c r="G17" s="81">
        <f t="shared" ca="1" si="3"/>
        <v>40.14</v>
      </c>
      <c r="H17" s="81">
        <f t="shared" ca="1" si="3"/>
        <v>40.14</v>
      </c>
    </row>
    <row r="18" spans="1:12">
      <c r="A18" s="138" t="s">
        <v>137</v>
      </c>
      <c r="B18" s="15" t="s">
        <v>138</v>
      </c>
      <c r="C18" s="77">
        <f ca="1">B9*0.2*$B$2*$B$5/365</f>
        <v>9.2280986301369872</v>
      </c>
      <c r="D18" s="77">
        <f t="shared" ref="D18:H18" ca="1" si="4">C9*0.2*$B$2*$B$5/365</f>
        <v>9.2745643835616445</v>
      </c>
      <c r="E18" s="77">
        <f t="shared" ca="1" si="4"/>
        <v>9.3210301369863018</v>
      </c>
      <c r="F18" s="77">
        <f t="shared" ca="1" si="4"/>
        <v>9.3674958904109609</v>
      </c>
      <c r="G18" s="77">
        <f t="shared" ca="1" si="4"/>
        <v>9.4139616438356182</v>
      </c>
      <c r="H18" s="77">
        <f t="shared" ca="1" si="4"/>
        <v>9.4604273972602773</v>
      </c>
    </row>
    <row r="19" spans="1:12">
      <c r="A19" s="139"/>
      <c r="B19" s="18" t="s">
        <v>139</v>
      </c>
      <c r="C19" s="78">
        <f ca="1">$B$8*$B$2*$B$5/365</f>
        <v>44.607123287671229</v>
      </c>
      <c r="D19" s="78">
        <f t="shared" ref="D19:H19" ca="1" si="5">$B$8*$B$2*$B$5/365</f>
        <v>44.607123287671229</v>
      </c>
      <c r="E19" s="78">
        <f t="shared" ca="1" si="5"/>
        <v>44.607123287671229</v>
      </c>
      <c r="F19" s="78">
        <f t="shared" ca="1" si="5"/>
        <v>44.607123287671229</v>
      </c>
      <c r="G19" s="78">
        <f t="shared" ca="1" si="5"/>
        <v>44.607123287671229</v>
      </c>
      <c r="H19" s="78">
        <f t="shared" ca="1" si="5"/>
        <v>44.607123287671229</v>
      </c>
    </row>
    <row r="20" spans="1:12">
      <c r="A20" s="140"/>
      <c r="B20" s="24" t="s">
        <v>140</v>
      </c>
      <c r="C20" s="81">
        <f ca="1">SUM(C18:C19)</f>
        <v>53.835221917808212</v>
      </c>
      <c r="D20" s="81">
        <f t="shared" ref="D20:H20" ca="1" si="6">SUM(D18:D19)</f>
        <v>53.881687671232875</v>
      </c>
      <c r="E20" s="81">
        <f t="shared" ca="1" si="6"/>
        <v>53.92815342465753</v>
      </c>
      <c r="F20" s="81">
        <f t="shared" ca="1" si="6"/>
        <v>53.974619178082193</v>
      </c>
      <c r="G20" s="81">
        <f t="shared" ca="1" si="6"/>
        <v>54.021084931506849</v>
      </c>
      <c r="H20" s="81">
        <f t="shared" ca="1" si="6"/>
        <v>54.067550684931504</v>
      </c>
    </row>
    <row r="21" spans="1:12">
      <c r="A21" s="142" t="s">
        <v>149</v>
      </c>
      <c r="B21" s="143"/>
      <c r="C21" s="81">
        <f ca="1">C20+C17</f>
        <v>93.975221917808213</v>
      </c>
      <c r="D21" s="81">
        <f t="shared" ref="D21:H21" ca="1" si="7">D20+D17</f>
        <v>94.021687671232883</v>
      </c>
      <c r="E21" s="81">
        <f t="shared" ca="1" si="7"/>
        <v>94.068153424657538</v>
      </c>
      <c r="F21" s="81">
        <f t="shared" ca="1" si="7"/>
        <v>94.114619178082194</v>
      </c>
      <c r="G21" s="81">
        <f t="shared" ca="1" si="7"/>
        <v>94.161084931506849</v>
      </c>
      <c r="H21" s="81">
        <f t="shared" ca="1" si="7"/>
        <v>94.207550684931505</v>
      </c>
    </row>
    <row r="22" spans="1:12">
      <c r="A22" s="138" t="s">
        <v>142</v>
      </c>
      <c r="B22" s="144"/>
      <c r="C22" s="77">
        <f ca="1">B9-$B$8-C21</f>
        <v>-27.975221917808213</v>
      </c>
      <c r="D22" s="77">
        <f t="shared" ref="D22:H22" ca="1" si="8">C9-$B$8-D21</f>
        <v>-18.021687671232883</v>
      </c>
      <c r="E22" s="77">
        <f t="shared" ca="1" si="8"/>
        <v>-8.0681534246575382</v>
      </c>
      <c r="F22" s="77">
        <f t="shared" ca="1" si="8"/>
        <v>1.8853808219178063</v>
      </c>
      <c r="G22" s="77">
        <f t="shared" ca="1" si="8"/>
        <v>11.838915068493151</v>
      </c>
      <c r="H22" s="77">
        <f t="shared" ca="1" si="8"/>
        <v>21.792449315068495</v>
      </c>
    </row>
    <row r="23" spans="1:12">
      <c r="A23" s="136" t="s">
        <v>146</v>
      </c>
      <c r="B23" s="137"/>
      <c r="C23" s="82">
        <f>$B$8+B9*0.2</f>
        <v>2317.1999999999998</v>
      </c>
      <c r="D23" s="82">
        <f t="shared" ref="D23:H23" si="9">$B$8+C9*0.2</f>
        <v>2319.1999999999998</v>
      </c>
      <c r="E23" s="82">
        <f t="shared" si="9"/>
        <v>2321.1999999999998</v>
      </c>
      <c r="F23" s="82">
        <f t="shared" si="9"/>
        <v>2323.1999999999998</v>
      </c>
      <c r="G23" s="82">
        <f t="shared" si="9"/>
        <v>2325.1999999999998</v>
      </c>
      <c r="H23" s="82">
        <f t="shared" si="9"/>
        <v>2327.1999999999998</v>
      </c>
    </row>
    <row r="24" spans="1:12">
      <c r="A24" s="145" t="s">
        <v>150</v>
      </c>
      <c r="B24" s="146"/>
      <c r="C24" s="83">
        <f ca="1">C22/C23/$B$5*365</f>
        <v>-4.1571626784440548E-2</v>
      </c>
      <c r="D24" s="83">
        <f t="shared" ref="D24:H24" ca="1" si="10">D22/D23/$B$5*365</f>
        <v>-2.6757421231784553E-2</v>
      </c>
      <c r="E24" s="83">
        <f t="shared" ca="1" si="10"/>
        <v>-1.1968744208428308E-2</v>
      </c>
      <c r="F24" s="83">
        <f t="shared" ca="1" si="10"/>
        <v>2.7944702167472298E-3</v>
      </c>
      <c r="G24" s="83">
        <f t="shared" ca="1" si="10"/>
        <v>1.7532287748020865E-2</v>
      </c>
      <c r="H24" s="83">
        <f t="shared" ca="1" si="10"/>
        <v>3.2244773863805885E-2</v>
      </c>
    </row>
    <row r="25" spans="1:12">
      <c r="A25" s="136" t="s">
        <v>151</v>
      </c>
      <c r="B25" s="137"/>
      <c r="C25" s="84">
        <f>$B$8-B9</f>
        <v>-66</v>
      </c>
      <c r="D25" s="84">
        <f t="shared" ref="D25:H25" si="11">$B$8-C9</f>
        <v>-76</v>
      </c>
      <c r="E25" s="84">
        <f t="shared" si="11"/>
        <v>-86</v>
      </c>
      <c r="F25" s="84">
        <f t="shared" si="11"/>
        <v>-96</v>
      </c>
      <c r="G25" s="84">
        <f t="shared" si="11"/>
        <v>-106</v>
      </c>
      <c r="H25" s="84">
        <f t="shared" si="11"/>
        <v>-116</v>
      </c>
    </row>
    <row r="29" spans="1:12" ht="18.75">
      <c r="A29" s="95" t="s">
        <v>161</v>
      </c>
      <c r="B29" s="95" t="s">
        <v>172</v>
      </c>
      <c r="C29" s="95" t="s">
        <v>182</v>
      </c>
      <c r="J29" s="108" t="s">
        <v>174</v>
      </c>
      <c r="K29" s="108" t="s">
        <v>173</v>
      </c>
      <c r="L29" s="108" t="s">
        <v>175</v>
      </c>
    </row>
    <row r="30" spans="1:12" ht="18.75">
      <c r="A30" s="94" t="s">
        <v>162</v>
      </c>
      <c r="B30" s="94">
        <v>1850</v>
      </c>
      <c r="C30" s="94">
        <v>1850</v>
      </c>
      <c r="J30" s="105" t="s">
        <v>176</v>
      </c>
      <c r="K30" s="105">
        <v>1870</v>
      </c>
      <c r="L30" s="105">
        <v>1870</v>
      </c>
    </row>
    <row r="31" spans="1:12" ht="18.75">
      <c r="A31" s="94" t="s">
        <v>163</v>
      </c>
      <c r="B31" s="99">
        <f ca="1">$B$8*$B$2*$B$5/365</f>
        <v>44.607123287671229</v>
      </c>
      <c r="C31" s="99">
        <f ca="1">$B$8*$B$2*$C$5/365</f>
        <v>95.526575342465748</v>
      </c>
      <c r="J31" s="105" t="s">
        <v>179</v>
      </c>
      <c r="K31" s="105">
        <v>40</v>
      </c>
      <c r="L31" s="105">
        <v>30</v>
      </c>
    </row>
    <row r="32" spans="1:12" ht="18.75">
      <c r="A32" s="94" t="s">
        <v>164</v>
      </c>
      <c r="B32" s="99">
        <f ca="1">B38*0.2*$B$2*$B$5/365</f>
        <v>8.6008109589041108</v>
      </c>
      <c r="C32" s="99">
        <f ca="1">C38*0.2*$B$2*$C$5/365</f>
        <v>19.115265753424659</v>
      </c>
      <c r="J32" s="105" t="s">
        <v>180</v>
      </c>
      <c r="K32" s="105"/>
      <c r="L32" s="105">
        <v>27</v>
      </c>
    </row>
    <row r="33" spans="1:12" ht="18.75">
      <c r="A33" s="96" t="s">
        <v>165</v>
      </c>
      <c r="B33" s="102">
        <f ca="1">B32+B31</f>
        <v>53.207934246575341</v>
      </c>
      <c r="C33" s="102">
        <f ca="1">C32+C31</f>
        <v>114.64184109589041</v>
      </c>
      <c r="J33" s="105" t="s">
        <v>177</v>
      </c>
      <c r="K33" s="105"/>
      <c r="L33" s="105">
        <f>L30*0.06*0.5/12</f>
        <v>4.6749999999999998</v>
      </c>
    </row>
    <row r="34" spans="1:12" ht="18.75">
      <c r="A34" s="94" t="s">
        <v>166</v>
      </c>
      <c r="B34" s="94">
        <f ca="1">$B$3*0.2+$B$4*0.5</f>
        <v>13.100000000000001</v>
      </c>
      <c r="C34" s="94">
        <f ca="1">$C$3*0.2+$B$4*0.6</f>
        <v>25.700000000000003</v>
      </c>
      <c r="J34" s="105" t="s">
        <v>178</v>
      </c>
      <c r="K34" s="105">
        <f>SUM(K30:K33)</f>
        <v>1910</v>
      </c>
      <c r="L34" s="106">
        <f>SUM(L30:L33)</f>
        <v>1931.675</v>
      </c>
    </row>
    <row r="35" spans="1:12" ht="18.75">
      <c r="A35" s="94" t="s">
        <v>171</v>
      </c>
      <c r="B35" s="94">
        <f>$C$11+$C$12+$C$13+$C$14+$C$16</f>
        <v>27.04</v>
      </c>
      <c r="C35" s="94">
        <f>$C$11+$C$12+$C$13+$C$14+$C$16</f>
        <v>27.04</v>
      </c>
      <c r="J35" s="105" t="s">
        <v>181</v>
      </c>
      <c r="K35" s="109">
        <v>1910</v>
      </c>
      <c r="L35" s="109"/>
    </row>
    <row r="36" spans="1:12" ht="18.75">
      <c r="A36" s="96" t="s">
        <v>167</v>
      </c>
      <c r="B36" s="101">
        <f ca="1">B35+B34</f>
        <v>40.14</v>
      </c>
      <c r="C36" s="97">
        <f ca="1">C35+C34</f>
        <v>52.74</v>
      </c>
      <c r="J36" s="107"/>
      <c r="K36" s="107"/>
      <c r="L36" s="107"/>
    </row>
    <row r="37" spans="1:12" ht="18.75">
      <c r="A37" s="94" t="s">
        <v>168</v>
      </c>
      <c r="B37" s="103">
        <f ca="1">B30+B33+B36</f>
        <v>1943.3479342465755</v>
      </c>
      <c r="C37" s="103">
        <f ca="1">C30+C33+C36</f>
        <v>2017.3818410958904</v>
      </c>
    </row>
    <row r="38" spans="1:12" ht="18.75">
      <c r="A38" s="94" t="s">
        <v>169</v>
      </c>
      <c r="B38" s="94">
        <v>1851</v>
      </c>
      <c r="C38" s="94">
        <v>1921</v>
      </c>
    </row>
    <row r="39" spans="1:12" ht="18.75">
      <c r="A39" s="98" t="s">
        <v>170</v>
      </c>
      <c r="B39" s="103">
        <f ca="1">B38-B37</f>
        <v>-92.347934246575505</v>
      </c>
      <c r="C39" s="103">
        <f ca="1">C38-C37</f>
        <v>-96.381841095890422</v>
      </c>
    </row>
  </sheetData>
  <mergeCells count="8">
    <mergeCell ref="A25:B25"/>
    <mergeCell ref="A11:A17"/>
    <mergeCell ref="A18:A20"/>
    <mergeCell ref="A1:B1"/>
    <mergeCell ref="A21:B21"/>
    <mergeCell ref="A22:B22"/>
    <mergeCell ref="A23:B23"/>
    <mergeCell ref="A24:B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1"/>
  <sheetViews>
    <sheetView workbookViewId="0">
      <selection activeCell="E23" sqref="E23"/>
    </sheetView>
  </sheetViews>
  <sheetFormatPr defaultRowHeight="13.5"/>
  <cols>
    <col min="5" max="5" width="27.25" customWidth="1"/>
    <col min="6" max="6" width="12" customWidth="1"/>
  </cols>
  <sheetData>
    <row r="1" spans="5:6">
      <c r="E1" s="85" t="s">
        <v>137</v>
      </c>
      <c r="F1" s="86">
        <v>0.08</v>
      </c>
    </row>
    <row r="2" spans="5:6">
      <c r="E2" s="87" t="s">
        <v>152</v>
      </c>
      <c r="F2" s="88">
        <v>1916</v>
      </c>
    </row>
    <row r="3" spans="5:6">
      <c r="E3" s="87" t="s">
        <v>159</v>
      </c>
      <c r="F3" s="88">
        <f>F5*10%</f>
        <v>178</v>
      </c>
    </row>
    <row r="4" spans="5:6">
      <c r="E4" s="87" t="s">
        <v>160</v>
      </c>
      <c r="F4" s="88">
        <v>270</v>
      </c>
    </row>
    <row r="5" spans="5:6">
      <c r="E5" s="87" t="s">
        <v>158</v>
      </c>
      <c r="F5" s="88">
        <v>1780</v>
      </c>
    </row>
    <row r="6" spans="5:6">
      <c r="E6" s="89" t="s">
        <v>153</v>
      </c>
      <c r="F6" s="90">
        <v>60</v>
      </c>
    </row>
    <row r="8" spans="5:6">
      <c r="E8" s="91" t="s">
        <v>154</v>
      </c>
      <c r="F8" s="92">
        <f>F2*0.2*F1*F4/365+F5*0.9*F1*F6/365+F3*F1*F4/365</f>
        <v>54.278136986301369</v>
      </c>
    </row>
    <row r="9" spans="5:6">
      <c r="E9" s="91" t="s">
        <v>155</v>
      </c>
      <c r="F9" s="91">
        <v>40</v>
      </c>
    </row>
    <row r="10" spans="5:6">
      <c r="E10" s="91" t="s">
        <v>156</v>
      </c>
      <c r="F10" s="91">
        <v>40</v>
      </c>
    </row>
    <row r="11" spans="5:6">
      <c r="E11" s="91" t="s">
        <v>157</v>
      </c>
      <c r="F11" s="93">
        <f>F2-F8-F9-F10</f>
        <v>1781.7218630136986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20180828</vt:lpstr>
      <vt:lpstr>20180828b</vt:lpstr>
      <vt:lpstr>价格计算</vt:lpstr>
      <vt:lpstr>交割成本计算</vt:lpstr>
      <vt:lpstr>交割计算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2019-09-20T08:43:10Z</dcterms:modified>
</cp:coreProperties>
</file>