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AE13" i="7" l="1"/>
  <c r="AH13" i="7"/>
  <c r="AG13" i="7"/>
  <c r="B15" i="3"/>
  <c r="C15" i="3"/>
  <c r="D15" i="3"/>
  <c r="E15" i="3"/>
  <c r="F15" i="3"/>
  <c r="F17" i="3"/>
  <c r="F16" i="3"/>
  <c r="F14" i="3"/>
  <c r="C14" i="3"/>
  <c r="D14" i="3"/>
  <c r="E14" i="3"/>
  <c r="F18" i="3" l="1"/>
  <c r="AF13" i="7"/>
  <c r="D7" i="6" l="1"/>
  <c r="B14" i="3" l="1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H18" i="6"/>
  <c r="G18" i="6"/>
  <c r="I18" i="6"/>
  <c r="F18" i="6"/>
  <c r="H21" i="6"/>
  <c r="G21" i="6"/>
  <c r="I21" i="6"/>
  <c r="F21" i="6"/>
  <c r="H20" i="6"/>
  <c r="G20" i="6"/>
  <c r="I20" i="6"/>
  <c r="F20" i="6"/>
  <c r="H19" i="6"/>
  <c r="G19" i="6"/>
  <c r="F19" i="6"/>
  <c r="I19" i="6"/>
  <c r="K20" i="6" l="1"/>
  <c r="L24" i="6"/>
  <c r="H24" i="6" s="1"/>
  <c r="I24" i="6" s="1"/>
  <c r="H17" i="6"/>
  <c r="G17" i="6"/>
  <c r="I17" i="6"/>
  <c r="F17" i="6"/>
  <c r="H16" i="6"/>
  <c r="G16" i="6"/>
  <c r="I16" i="6"/>
  <c r="F16" i="6"/>
  <c r="H15" i="6"/>
  <c r="G15" i="6"/>
  <c r="F15" i="6"/>
  <c r="I15" i="6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6" i="3"/>
  <c r="D16" i="3"/>
  <c r="C16" i="3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C7" i="3" s="1"/>
  <c r="B3" i="3"/>
  <c r="A2" i="3"/>
  <c r="D7" i="3" l="1"/>
  <c r="D9" i="3" s="1"/>
  <c r="B7" i="3"/>
  <c r="B9" i="3" s="1"/>
  <c r="E7" i="3"/>
  <c r="E9" i="3" s="1"/>
  <c r="C18" i="3"/>
  <c r="B18" i="3"/>
  <c r="D18" i="3"/>
  <c r="E18" i="3"/>
  <c r="C9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10" i="4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<sst xmlns="http://schemas.openxmlformats.org/spreadsheetml/2006/main" count="387" uniqueCount="286">
  <si>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</si>
  <si>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</si>
  <si>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</si>
  <si>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</si>
  <si>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</si>
  <si>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</si>
  <si>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</si>
  <si>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</si>
  <si>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</si>
  <si>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</si>
  <si>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</si>
  <si>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</si>
  <si>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</si>
  <si>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</si>
  <si>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</si>
  <si>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</si>
  <si>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</si>
  <si>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</si>
  <si>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</si>
  <si>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</si>
  <si>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</si>
  <si>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</si>
  <si>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</si>
  <si>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</si>
  <si>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</si>
  <si>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</si>
  <si>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</si>
  <si>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</si>
  <si>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</si>
  <si>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</si>
  <si>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</si>
  <si>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</si>
  <si>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</si>
  <si>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</si>
  <si>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</si>
  <si>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</si>
  <si>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</si>
  <si>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</si>
  <si>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</si>
  <si>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</si>
  <si>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</si>
  <si>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</si>
  <si>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</si>
  <si>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</si>
  <si>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</si>
  <si>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</si>
  <si>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</si>
  <si>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比特币美元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</si>
  <si>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</si>
  <si>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</si>
  <si>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</si>
  <si>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</si>
  <si>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</si>
  <si>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</si>
  <si>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</si>
  <si>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</si>
  <si>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</si>
  <si>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</si>
  <si>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</si>
  <si>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</si>
  <si>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</si>
  <si>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</si>
  <si>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</si>
  <si>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</si>
  <si>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</si>
  <si>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</si>
  <si>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</si>
  <si>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</si>
  <si>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</si>
  <si>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</si>
  <si>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</si>
  <si>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</si>
  <si>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</si>
  <si>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</si>
  <si>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</si>
  <si>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</si>
  <si>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</si>
  <si>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</si>
  <si>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</si>
  <si>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</si>
  <si>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</si>
  <si>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</si>
  <si>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</si>
  <si>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</si>
  <si>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</si>
  <si>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</si>
  <si>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</si>
  <si>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</si>
  <si>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</si>
  <si>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</si>
  <si>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</si>
  <si>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</si>
  <si>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</si>
  <si>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</si>
  <si>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</si>
  <si>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</si>
  <si>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</si>
  <si>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</si>
  <si>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</si>
  <si>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</si>
  <si>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</si>
  <si>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</si>
  <si>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</si>
  <si>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</si>
  <si>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</si>
  <si>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</si>
  <si>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</si>
  <si>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</si>
  <si>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</si>
  <si>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</si>
  <si>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</si>
  <si>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</si>
  <si>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</si>
  <si>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</si>
  <si>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</si>
  <si>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</si>
  <si>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</si>
  <si>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</si>
  <si>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</si>
  <si>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</si>
  <si>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</si>
  <si>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</si>
  <si>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</si>
  <si>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</si>
  <si>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</si>
  <si>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</si>
  <si>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</si>
  <si>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</si>
  <si>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</si>
  <si>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</si>
  <si>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</si>
  <si>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</si>
  <si>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</si>
  <si>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</si>
  <si>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</si>
  <si>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</si>
  <si>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</si>
  <si>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</si>
  <si>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</si>
  <si>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</si>
  <si>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</si>
  <si>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</si>
  <si>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</si>
  <si>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</si>
  <si>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</si>
  <si>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</si>
  <si>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</si>
  <si>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</si>
  <si>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</si>
  <si>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</si>
  <si>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</si>
  <si>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</si>
  <si>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</si>
  <si>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</si>
  <si>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</si>
  <si>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</si>
  <si>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</si>
  <si>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</si>
  <si>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</si>
  <si>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</si>
  <si>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</si>
  <si>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</si>
  <si>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</si>
  <si>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</si>
  <si>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</si>
  <si>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</si>
  <si>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</si>
  <si>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</si>
  <si>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</si>
  <si>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</si>
  <si>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</si>
  <si>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</si>
  <si>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</si>
  <si>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</si>
  <si>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</si>
  <si>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</si>
  <si>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</si>
  <si>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</si>
  <si>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</si>
  <si>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</si>
  <si>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</si>
  <si>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</si>
  <si>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</si>
  <si>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</si>
  <si>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</si>
  <si>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</si>
  <si>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</si>
  <si>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</si>
  <si>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</si>
  <si>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</si>
  <si>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</si>
  <si>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</si>
  <si>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</si>
  <si>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</si>
  <si>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</si>
  <si>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</si>
  <si>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</si>
  <si>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</si>
  <si>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</si>
  <si>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</si>
  <si>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</si>
  <si>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</si>
  <si>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</si>
  <si>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</si>
  <si>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</si>
  <si>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</si>
  <si>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</si>
  <si>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</si>
  <si>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</si>
  <si>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</si>
  <si>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</si>
  <si>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</si>
  <si>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</si>
  <si>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</si>
  <si>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</si>
  <si>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</si>
  <si>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</si>
  <si>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</si>
  <si>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</si>
  <si>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</si>
  <si>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</si>
  <si>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期初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</si>
  <si>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</si>
  <si>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</si>
  <si>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</si>
  <si>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</si>
  <si>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</si>
  <si>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</si>
  <si>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</si>
  <si>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</si>
  <si>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</si>
  <si>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</si>
  <si>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</si>
  <si>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</si>
  <si>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</si>
  <si>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</si>
  <si>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</si>
  <si>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</si>
  <si>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</si>
  <si>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</si>
  <si>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</si>
  <si>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</si>
  <si>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</si>
  <si>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</si>
  <si>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</si>
  <si>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</si>
  <si>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</si>
  <si>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</si>
  <si>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</si>
  <si>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</si>
  <si>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</si>
  <si>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</si>
  <si>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</si>
  <si>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</si>
  <si>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</si>
  <si>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</si>
  <si>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</si>
  <si>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</si>
  <si>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</si>
  <si>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</si>
  <si>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</si>
  <si>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</si>
  <si>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</si>
  <si>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</si>
  <si>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</si>
  <si>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</si>
  <si>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</si>
  <si>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肇东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</si>
  <si>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</si>
  <si>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</si>
  <si>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</si>
  <si>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</si>
  <si>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</si>
  <si>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三等价</t>
    <phoneticPr fontId="2" type="noConversion"/>
  </si>
  <si>
    <t>东北地区工厂报价稳定，华北地区报价稳定</t>
    <phoneticPr fontId="2" type="noConversion"/>
  </si>
  <si>
    <t>佳木斯</t>
    <phoneticPr fontId="2" type="noConversion"/>
  </si>
  <si>
    <t>蒙南</t>
    <phoneticPr fontId="2" type="noConversion"/>
  </si>
  <si>
    <t>蒙北</t>
    <phoneticPr fontId="2" type="noConversion"/>
  </si>
  <si>
    <t>呼伦贝尔</t>
    <phoneticPr fontId="2" type="noConversion"/>
  </si>
  <si>
    <t>蒙北</t>
    <phoneticPr fontId="2" type="noConversion"/>
  </si>
  <si>
    <t>九台</t>
    <phoneticPr fontId="2" type="noConversion"/>
  </si>
  <si>
    <t>九台</t>
    <phoneticPr fontId="2" type="noConversion"/>
  </si>
  <si>
    <t>嫩江</t>
    <phoneticPr fontId="2" type="noConversion"/>
  </si>
  <si>
    <t>嫩江</t>
    <phoneticPr fontId="2" type="noConversion"/>
  </si>
  <si>
    <t>南方销区港口价格稳定</t>
    <phoneticPr fontId="2" type="noConversion"/>
  </si>
  <si>
    <t>临储拍卖第二周成交热情略有下降，整体成交率82%。华北地区深加工厂报价企稳，连续提价后工厂到货有所增加，上量或难持续。北方港口价格稳定，锦州港晨间汽运到港约0.5万吨，鲅鱼圈晨间汽运到港约1.1万吨。销区方面整体稳定，市场心态有所趋弱，成交普遍高报低走。广东港部分预售二等新粮6月份交货价在2050元/吨左右。饲料企业仍以刚需补库为主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</si>
</sst>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2017376"/>
        <c:axId val="-1422020096"/>
      </c:lineChart>
      <c:catAx>
        <c:axId val="-1422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2020096"/>
        <c:crosses val="autoZero"/>
        <c:auto val="1"/>
        <c:lblAlgn val="ctr"/>
        <c:lblOffset val="100"/>
        <c:noMultiLvlLbl val="0"/>
      </c:catAx>
      <c:valAx>
        <c:axId val="-1422020096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2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0.81666666666666665</v>
          </cell>
          <cell r="AJ16">
            <v>0.72666666666666668</v>
          </cell>
          <cell r="AK16">
            <v>0.88</v>
          </cell>
          <cell r="AL16">
            <v>0.71666666666666667</v>
          </cell>
          <cell r="AM16">
            <v>0.52666666666666673</v>
          </cell>
          <cell r="AN16">
            <v>0.65666666666666673</v>
          </cell>
          <cell r="AO16">
            <v>0.6166666666666667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0.82333333333333336</v>
          </cell>
          <cell r="AJ17">
            <v>0.73333333333333328</v>
          </cell>
          <cell r="AK17">
            <v>0.89</v>
          </cell>
          <cell r="AL17">
            <v>0.72333333333333327</v>
          </cell>
          <cell r="AM17">
            <v>0.53333333333333333</v>
          </cell>
          <cell r="AN17">
            <v>0.66333333333333333</v>
          </cell>
          <cell r="AO17">
            <v>0.62333333333333329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1780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1780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1780</v>
          </cell>
          <cell r="AC3264">
            <v>1710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1780</v>
          </cell>
          <cell r="AC3265">
            <v>1710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1780</v>
          </cell>
          <cell r="AC3266">
            <v>1710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2080</v>
          </cell>
          <cell r="BF3266">
            <v>2020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  <row r="3267">
          <cell r="A3267">
            <v>43613</v>
          </cell>
          <cell r="B3267">
            <v>1910</v>
          </cell>
          <cell r="D3267">
            <v>1910</v>
          </cell>
          <cell r="H3267">
            <v>2020</v>
          </cell>
          <cell r="I3267">
            <v>-35</v>
          </cell>
          <cell r="J3267">
            <v>2040</v>
          </cell>
          <cell r="K3267">
            <v>-13</v>
          </cell>
          <cell r="L3267">
            <v>2030</v>
          </cell>
          <cell r="M3267">
            <v>-37</v>
          </cell>
          <cell r="N3267">
            <v>2040</v>
          </cell>
          <cell r="O3267">
            <v>-7</v>
          </cell>
          <cell r="P3267">
            <v>55</v>
          </cell>
          <cell r="Q3267">
            <v>67</v>
          </cell>
          <cell r="R3267">
            <v>53</v>
          </cell>
          <cell r="S3267">
            <v>47</v>
          </cell>
          <cell r="V3267">
            <v>1610</v>
          </cell>
          <cell r="W3267">
            <v>1720</v>
          </cell>
          <cell r="X3267">
            <v>1630</v>
          </cell>
          <cell r="Y3267">
            <v>1800</v>
          </cell>
          <cell r="AB3267">
            <v>1780</v>
          </cell>
          <cell r="AC3267">
            <v>1710</v>
          </cell>
          <cell r="AD3267">
            <v>1810</v>
          </cell>
          <cell r="AF3267">
            <v>1720</v>
          </cell>
          <cell r="AI3267">
            <v>1760</v>
          </cell>
          <cell r="AK3267">
            <v>1750</v>
          </cell>
          <cell r="AL3267">
            <v>1820</v>
          </cell>
          <cell r="AN3267">
            <v>1780</v>
          </cell>
          <cell r="AO3267">
            <v>1660</v>
          </cell>
          <cell r="AP3267">
            <v>1750</v>
          </cell>
          <cell r="AQ3267">
            <v>1800</v>
          </cell>
          <cell r="AR3267">
            <v>1680</v>
          </cell>
          <cell r="AS3267">
            <v>1900</v>
          </cell>
          <cell r="AT3267">
            <v>1850</v>
          </cell>
          <cell r="AV3267">
            <v>1840</v>
          </cell>
          <cell r="AW3267">
            <v>1750</v>
          </cell>
          <cell r="AX3267">
            <v>1740</v>
          </cell>
          <cell r="AY3267">
            <v>1960</v>
          </cell>
          <cell r="AZ3267">
            <v>1960</v>
          </cell>
          <cell r="BA3267">
            <v>2060</v>
          </cell>
          <cell r="BB3267">
            <v>2010</v>
          </cell>
          <cell r="BC3267">
            <v>2060</v>
          </cell>
          <cell r="BD3267">
            <v>2130</v>
          </cell>
          <cell r="BE3267">
            <v>2080</v>
          </cell>
          <cell r="BF3267">
            <v>2030</v>
          </cell>
          <cell r="BG3267">
            <v>2090</v>
          </cell>
          <cell r="BH3267">
            <v>2080</v>
          </cell>
          <cell r="BI3267">
            <v>2240</v>
          </cell>
          <cell r="BJ3267">
            <v>2100</v>
          </cell>
          <cell r="BK3267">
            <v>2070</v>
          </cell>
          <cell r="BL3267">
            <v>2100</v>
          </cell>
        </row>
        <row r="3268">
          <cell r="A3268">
            <v>43614</v>
          </cell>
          <cell r="B3268">
            <v>1910</v>
          </cell>
          <cell r="D3268">
            <v>1910</v>
          </cell>
          <cell r="H3268">
            <v>2010</v>
          </cell>
          <cell r="I3268">
            <v>-43</v>
          </cell>
          <cell r="J3268">
            <v>2040</v>
          </cell>
          <cell r="K3268">
            <v>-11</v>
          </cell>
          <cell r="L3268">
            <v>2030</v>
          </cell>
          <cell r="M3268">
            <v>-31</v>
          </cell>
          <cell r="N3268">
            <v>2040</v>
          </cell>
          <cell r="O3268">
            <v>-5</v>
          </cell>
          <cell r="P3268">
            <v>53</v>
          </cell>
          <cell r="Q3268">
            <v>61</v>
          </cell>
          <cell r="R3268">
            <v>51</v>
          </cell>
          <cell r="S3268">
            <v>45</v>
          </cell>
          <cell r="U3268">
            <v>190</v>
          </cell>
          <cell r="V3268">
            <v>1610</v>
          </cell>
          <cell r="W3268">
            <v>1720</v>
          </cell>
          <cell r="X3268">
            <v>1630</v>
          </cell>
          <cell r="Y3268">
            <v>1800</v>
          </cell>
          <cell r="Z3268">
            <v>130</v>
          </cell>
          <cell r="AB3268">
            <v>1780</v>
          </cell>
          <cell r="AC3268">
            <v>1710</v>
          </cell>
          <cell r="AD3268">
            <v>1810</v>
          </cell>
          <cell r="AF3268">
            <v>1720</v>
          </cell>
          <cell r="AI3268">
            <v>1760</v>
          </cell>
          <cell r="AJ3268">
            <v>130</v>
          </cell>
          <cell r="AK3268">
            <v>1750</v>
          </cell>
          <cell r="AL3268">
            <v>1820</v>
          </cell>
          <cell r="AN3268">
            <v>1780</v>
          </cell>
          <cell r="AO3268">
            <v>1660</v>
          </cell>
          <cell r="AP3268">
            <v>1750</v>
          </cell>
          <cell r="AQ3268">
            <v>1800</v>
          </cell>
          <cell r="AR3268">
            <v>1680</v>
          </cell>
          <cell r="AS3268">
            <v>1900</v>
          </cell>
          <cell r="AT3268">
            <v>1850</v>
          </cell>
          <cell r="AV3268">
            <v>1840</v>
          </cell>
          <cell r="AW3268">
            <v>1750</v>
          </cell>
          <cell r="AX3268">
            <v>1740</v>
          </cell>
          <cell r="AY3268">
            <v>1960</v>
          </cell>
          <cell r="AZ3268">
            <v>1960</v>
          </cell>
          <cell r="BA3268">
            <v>2060</v>
          </cell>
          <cell r="BB3268">
            <v>2010</v>
          </cell>
          <cell r="BC3268">
            <v>2070</v>
          </cell>
          <cell r="BD3268">
            <v>2130</v>
          </cell>
          <cell r="BE3268">
            <v>2080</v>
          </cell>
          <cell r="BF3268">
            <v>2030</v>
          </cell>
          <cell r="BG3268">
            <v>2090</v>
          </cell>
          <cell r="BH3268">
            <v>2080</v>
          </cell>
          <cell r="BI3268">
            <v>2240</v>
          </cell>
          <cell r="BJ3268">
            <v>2080</v>
          </cell>
          <cell r="BK3268">
            <v>2070</v>
          </cell>
          <cell r="BL3268">
            <v>2100</v>
          </cell>
        </row>
        <row r="3269">
          <cell r="A3269">
            <v>43615</v>
          </cell>
          <cell r="B3269">
            <v>1910</v>
          </cell>
          <cell r="D3269">
            <v>1910</v>
          </cell>
          <cell r="H3269">
            <v>2010</v>
          </cell>
          <cell r="I3269">
            <v>-43</v>
          </cell>
          <cell r="J3269">
            <v>2040</v>
          </cell>
          <cell r="K3269">
            <v>-11</v>
          </cell>
          <cell r="L3269">
            <v>2030</v>
          </cell>
          <cell r="M3269">
            <v>-31</v>
          </cell>
          <cell r="N3269">
            <v>2040</v>
          </cell>
          <cell r="O3269">
            <v>-5</v>
          </cell>
          <cell r="P3269">
            <v>53</v>
          </cell>
          <cell r="Q3269">
            <v>61</v>
          </cell>
          <cell r="R3269">
            <v>51</v>
          </cell>
          <cell r="S3269">
            <v>45</v>
          </cell>
          <cell r="V3269">
            <v>1610</v>
          </cell>
          <cell r="W3269">
            <v>1720</v>
          </cell>
          <cell r="X3269">
            <v>1630</v>
          </cell>
          <cell r="Y3269">
            <v>1800</v>
          </cell>
          <cell r="AB3269">
            <v>1780</v>
          </cell>
          <cell r="AC3269">
            <v>1710</v>
          </cell>
          <cell r="AD3269">
            <v>1810</v>
          </cell>
          <cell r="AF3269">
            <v>1720</v>
          </cell>
          <cell r="AI3269">
            <v>1760</v>
          </cell>
          <cell r="AK3269">
            <v>1750</v>
          </cell>
          <cell r="AL3269">
            <v>1820</v>
          </cell>
          <cell r="AN3269">
            <v>1780</v>
          </cell>
          <cell r="AO3269">
            <v>1660</v>
          </cell>
          <cell r="AP3269">
            <v>1750</v>
          </cell>
          <cell r="AQ3269">
            <v>1800</v>
          </cell>
          <cell r="AR3269">
            <v>1680</v>
          </cell>
          <cell r="AS3269">
            <v>1900</v>
          </cell>
          <cell r="AT3269">
            <v>1850</v>
          </cell>
          <cell r="AV3269">
            <v>1840</v>
          </cell>
          <cell r="AW3269">
            <v>1750</v>
          </cell>
          <cell r="AX3269">
            <v>1740</v>
          </cell>
          <cell r="AY3269">
            <v>1960</v>
          </cell>
          <cell r="AZ3269">
            <v>1960</v>
          </cell>
          <cell r="BA3269">
            <v>2060</v>
          </cell>
          <cell r="BB3269">
            <v>2010</v>
          </cell>
          <cell r="BC3269">
            <v>2070</v>
          </cell>
          <cell r="BD3269">
            <v>2130</v>
          </cell>
          <cell r="BE3269">
            <v>2080</v>
          </cell>
          <cell r="BF3269">
            <v>2040</v>
          </cell>
          <cell r="BG3269">
            <v>2090</v>
          </cell>
          <cell r="BH3269">
            <v>2080</v>
          </cell>
          <cell r="BI3269">
            <v>2250</v>
          </cell>
          <cell r="BJ3269">
            <v>2080</v>
          </cell>
          <cell r="BK3269">
            <v>2070</v>
          </cell>
          <cell r="BL3269">
            <v>2100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E1" t="str">
            <v>鲅鱼圈</v>
          </cell>
          <cell r="H1" t="str">
            <v>北良</v>
          </cell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220.10000000000002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60.099999999999994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58.599999999999994</v>
          </cell>
          <cell r="K279">
            <v>3.2</v>
          </cell>
          <cell r="L279">
            <v>1.2</v>
          </cell>
          <cell r="M279">
            <v>22</v>
          </cell>
        </row>
        <row r="280">
          <cell r="A280">
            <v>43609</v>
          </cell>
          <cell r="B280">
            <v>9.1</v>
          </cell>
          <cell r="C280">
            <v>16.600000000000001</v>
          </cell>
          <cell r="D280">
            <v>195.1</v>
          </cell>
          <cell r="E280">
            <v>10</v>
          </cell>
          <cell r="F280">
            <v>19</v>
          </cell>
          <cell r="G280">
            <v>174.7</v>
          </cell>
          <cell r="H280">
            <v>5.4</v>
          </cell>
          <cell r="I280">
            <v>3.5</v>
          </cell>
          <cell r="J280">
            <v>60.499999999999993</v>
          </cell>
          <cell r="K280">
            <v>0</v>
          </cell>
          <cell r="L280">
            <v>4.5</v>
          </cell>
          <cell r="M280">
            <v>17.5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</v>
          </cell>
          <cell r="G280">
            <v>43.2</v>
          </cell>
          <cell r="H280">
            <v>0</v>
          </cell>
          <cell r="I280">
            <v>6.9</v>
          </cell>
          <cell r="J280">
            <v>18.7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</v>
          </cell>
          <cell r="G281">
            <v>42</v>
          </cell>
          <cell r="H281">
            <v>0</v>
          </cell>
          <cell r="I281">
            <v>4.8</v>
          </cell>
          <cell r="J281">
            <v>13.9</v>
          </cell>
          <cell r="K281">
            <v>2</v>
          </cell>
          <cell r="L281">
            <v>2.5</v>
          </cell>
          <cell r="M281">
            <v>11.7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3" sqref="A13:B13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50</v>
      </c>
      <c r="B1" s="3"/>
      <c r="C1" s="3"/>
      <c r="D1" s="3"/>
    </row>
    <row r="2" spans="1:4" ht="17.25" x14ac:dyDescent="0.15">
      <c r="A2" s="8" t="s">
        <v>51</v>
      </c>
      <c r="B2" s="10">
        <f>INDEX([1]salerate!$AP:$AP,COUNTA([1]salerate!$AP:$AP))</f>
        <v>43555</v>
      </c>
      <c r="C2" s="8" t="s">
        <v>52</v>
      </c>
      <c r="D2" s="8" t="s">
        <v>53</v>
      </c>
    </row>
    <row r="3" spans="1:4" ht="17.25" x14ac:dyDescent="0.15">
      <c r="A3" s="6" t="s">
        <v>54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55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56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57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58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59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60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97" t="s">
        <v>14</v>
      </c>
      <c r="B2" s="6" t="s">
        <v>19</v>
      </c>
      <c r="C2" s="6">
        <f>INDEX([2]feedfactory!$B:$B,COUNTA([2]feedfactory!$A:$A))</f>
        <v>45</v>
      </c>
      <c r="D2" s="97" t="s">
        <v>17</v>
      </c>
      <c r="E2" s="6" t="s">
        <v>19</v>
      </c>
      <c r="F2" s="6">
        <f>INDEX([2]feedfactory!$J:$J,COUNTA([2]feedfactory!$A:$A))</f>
        <v>35</v>
      </c>
    </row>
    <row r="3" spans="1:6" ht="17.25" x14ac:dyDescent="0.15">
      <c r="A3" s="98"/>
      <c r="B3" s="6" t="s">
        <v>20</v>
      </c>
      <c r="C3" s="6">
        <f>INDEX([2]feedfactory!$C:$C,COUNTA([2]feedfactory!$A:$A))</f>
        <v>40</v>
      </c>
      <c r="D3" s="98"/>
      <c r="E3" s="6" t="s">
        <v>21</v>
      </c>
      <c r="F3" s="6">
        <f>INDEX([2]feedfactory!$K:$K,COUNTA([2]feedfactory!$A:$A))</f>
        <v>35</v>
      </c>
    </row>
    <row r="4" spans="1:6" ht="17.25" x14ac:dyDescent="0.15">
      <c r="A4" s="98"/>
      <c r="B4" s="6" t="s">
        <v>21</v>
      </c>
      <c r="C4" s="6">
        <f>INDEX([2]feedfactory!$D:$D,COUNTA([2]feedfactory!$A:$A))</f>
        <v>25</v>
      </c>
      <c r="D4" s="98"/>
      <c r="E4" s="6" t="s">
        <v>30</v>
      </c>
      <c r="F4" s="6">
        <f>INDEX([2]feedfactory!$L:$L,COUNTA([2]feedfactory!$A:$A))</f>
        <v>30</v>
      </c>
    </row>
    <row r="5" spans="1:6" ht="17.25" x14ac:dyDescent="0.15">
      <c r="A5" s="98"/>
      <c r="B5" s="6" t="s">
        <v>22</v>
      </c>
      <c r="C5" s="6">
        <f>INDEX([2]feedfactory!$E:$E,COUNTA([2]feedfactory!$A:$A))</f>
        <v>30</v>
      </c>
      <c r="D5" s="98"/>
      <c r="E5" s="6" t="s">
        <v>31</v>
      </c>
      <c r="F5" s="6">
        <f>INDEX([2]feedfactory!$M:$M,COUNTA([2]feedfactory!$A:$A))</f>
        <v>30</v>
      </c>
    </row>
    <row r="6" spans="1:6" ht="17.25" x14ac:dyDescent="0.15">
      <c r="A6" s="99"/>
      <c r="B6" s="6" t="s">
        <v>23</v>
      </c>
      <c r="C6" s="6">
        <f>INDEX([2]feedfactory!$F:$F,COUNTA([2]feedfactory!$A:$A))</f>
        <v>5</v>
      </c>
      <c r="D6" s="98"/>
      <c r="E6" s="6" t="s">
        <v>32</v>
      </c>
      <c r="F6" s="6">
        <f>INDEX([2]feedfactory!$N:$N,COUNTA([2]feedfactory!$A:$A))</f>
        <v>30</v>
      </c>
    </row>
    <row r="7" spans="1:6" ht="17.25" x14ac:dyDescent="0.15">
      <c r="A7" s="97" t="s">
        <v>15</v>
      </c>
      <c r="B7" s="6" t="s">
        <v>24</v>
      </c>
      <c r="C7" s="6">
        <f>INDEX([2]feedfactory!$U:$U,COUNTA([2]feedfactory!$A:$A))</f>
        <v>30</v>
      </c>
      <c r="D7" s="98"/>
      <c r="E7" s="6" t="s">
        <v>20</v>
      </c>
      <c r="F7" s="6">
        <f>INDEX([2]feedfactory!$O:$O,COUNTA([2]feedfactory!$A:$A))</f>
        <v>50</v>
      </c>
    </row>
    <row r="8" spans="1:6" ht="17.25" x14ac:dyDescent="0.15">
      <c r="A8" s="98"/>
      <c r="B8" s="6" t="s">
        <v>25</v>
      </c>
      <c r="C8" s="6">
        <f>INDEX([2]feedfactory!$V:$V,COUNTA([2]feedfactory!$A:$A))</f>
        <v>20</v>
      </c>
      <c r="D8" s="99"/>
      <c r="E8" s="6" t="s">
        <v>33</v>
      </c>
      <c r="F8" s="6">
        <f>INDEX([2]feedfactory!$P:$P,COUNTA([2]feedfactory!$A:$A))</f>
        <v>35</v>
      </c>
    </row>
    <row r="9" spans="1:6" ht="17.25" x14ac:dyDescent="0.15">
      <c r="A9" s="99"/>
      <c r="B9" s="6" t="s">
        <v>26</v>
      </c>
      <c r="C9" s="6">
        <f>INDEX([2]feedfactory!$W:$W,COUNTA([2]feedfactory!$A:$A))</f>
        <v>15</v>
      </c>
      <c r="D9" s="100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97" t="s">
        <v>16</v>
      </c>
      <c r="B10" s="6" t="s">
        <v>27</v>
      </c>
      <c r="C10" s="6">
        <f>INDEX([2]feedfactory!$G:$G,COUNTA([2]feedfactory!$A:$A))</f>
        <v>35</v>
      </c>
      <c r="D10" s="100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98"/>
      <c r="B11" s="6" t="s">
        <v>28</v>
      </c>
      <c r="C11" s="6">
        <f>INDEX([2]feedfactory!$H:$H,COUNTA([2]feedfactory!$A:$A))</f>
        <v>35</v>
      </c>
      <c r="D11" s="100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99"/>
      <c r="B12" s="6" t="s">
        <v>29</v>
      </c>
      <c r="C12" s="6">
        <f>INDEX([2]feedfactory!$I:$I,COUNTA([2]feedfactory!$A:$A))</f>
        <v>35</v>
      </c>
      <c r="D12" s="100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4" workbookViewId="0">
      <selection activeCell="B17" sqref="B17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43615</v>
      </c>
      <c r="B2" s="70" t="s">
        <v>169</v>
      </c>
      <c r="C2" s="70" t="s">
        <v>170</v>
      </c>
      <c r="D2" s="70" t="s">
        <v>171</v>
      </c>
      <c r="E2" s="70" t="s">
        <v>172</v>
      </c>
      <c r="F2" s="70" t="s">
        <v>173</v>
      </c>
      <c r="G2" s="70" t="s">
        <v>174</v>
      </c>
      <c r="H2" s="70" t="s">
        <v>175</v>
      </c>
    </row>
    <row r="3" spans="1:8" ht="17.25" x14ac:dyDescent="0.15">
      <c r="A3" s="71" t="s">
        <v>176</v>
      </c>
      <c r="B3" s="7">
        <f>LOOKUP(2,1/([3]prices!T:T&lt;&gt;0),[3]prices!T:T)</f>
        <v>1820</v>
      </c>
      <c r="C3" s="7">
        <f>LOOKUP(2,1/([3]prices!Y:Y&lt;&gt;0),[3]prices!Y:Y)</f>
        <v>1800</v>
      </c>
      <c r="D3" s="7">
        <f>LOOKUP(2,1/([3]prices!AF:AF&lt;&gt;0),[3]prices!AF:AF)</f>
        <v>1720</v>
      </c>
      <c r="E3" s="7">
        <f>LOOKUP(2,1/([3]prices!AI:AI&lt;&gt;0),[3]prices!AI:AI)</f>
        <v>1760</v>
      </c>
      <c r="F3" s="7">
        <f>LOOKUP(2,1/([3]prices!AL:AL&lt;&gt;0),[3]prices!AL:AL)</f>
        <v>1820</v>
      </c>
      <c r="G3" s="7">
        <f>LOOKUP(2,1/([3]prices!AS:AS&lt;&gt;0),[3]prices!AS:AS)</f>
        <v>1900</v>
      </c>
      <c r="H3" s="7">
        <f>LOOKUP(2,1/([3]prices!AV:AV&lt;&gt;0),[3]prices!AV:AV)</f>
        <v>1840</v>
      </c>
    </row>
    <row r="4" spans="1:8" ht="17.25" x14ac:dyDescent="0.15">
      <c r="A4" s="72" t="s">
        <v>177</v>
      </c>
      <c r="B4" s="73" t="s">
        <v>178</v>
      </c>
      <c r="C4" s="73" t="s">
        <v>179</v>
      </c>
      <c r="D4" s="73" t="s">
        <v>90</v>
      </c>
      <c r="E4" s="73" t="s">
        <v>87</v>
      </c>
      <c r="F4" s="73" t="s">
        <v>180</v>
      </c>
      <c r="G4" s="73" t="s">
        <v>94</v>
      </c>
      <c r="H4" s="73" t="s">
        <v>181</v>
      </c>
    </row>
    <row r="5" spans="1:8" ht="17.25" x14ac:dyDescent="0.15">
      <c r="A5" s="72" t="s">
        <v>182</v>
      </c>
      <c r="B5" s="73">
        <f>LOOKUP(2,1/([3]prices!V:V&lt;&gt;0),[3]prices!V:V)</f>
        <v>1610</v>
      </c>
      <c r="C5" s="73" t="str">
        <f>LOOKUP(2,1/([3]prices!AA:AA&lt;&gt;0),[3]prices!AA:AA)</f>
        <v>停收</v>
      </c>
      <c r="D5" s="73" t="str">
        <f>LOOKUP(2,1/([3]prices!AH:AH&lt;&gt;0),[3]prices!AH:AH)</f>
        <v>停收</v>
      </c>
      <c r="E5" s="73">
        <f>LOOKUP(2,1/([3]prices!AK:AK&lt;&gt;0),[3]prices!AK:AK)</f>
        <v>1750</v>
      </c>
      <c r="F5" s="73">
        <f>LOOKUP(2,1/([3]prices!AO:AO&lt;&gt;0),[3]prices!AO:AO)</f>
        <v>1660</v>
      </c>
      <c r="G5" s="73">
        <f>LOOKUP(2,1/([3]prices!AT:AT&lt;&gt;0),[3]prices!AT:AT)</f>
        <v>1850</v>
      </c>
      <c r="H5" s="73">
        <f>LOOKUP(2,1/([3]prices!AW:AW&lt;&gt;0),[3]prices!AW:AW)</f>
        <v>1750</v>
      </c>
    </row>
    <row r="6" spans="1:8" ht="17.25" x14ac:dyDescent="0.15">
      <c r="A6" s="7" t="s">
        <v>183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130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95</v>
      </c>
      <c r="B7" s="7">
        <f>B3+B6</f>
        <v>2010</v>
      </c>
      <c r="C7" s="7">
        <f t="shared" ref="C7:H7" si="0">C3+C6</f>
        <v>1930</v>
      </c>
      <c r="D7" s="7">
        <f t="shared" si="0"/>
        <v>1970</v>
      </c>
      <c r="E7" s="7">
        <f t="shared" si="0"/>
        <v>1890</v>
      </c>
      <c r="F7" s="7">
        <f t="shared" si="0"/>
        <v>1925</v>
      </c>
      <c r="G7" s="7">
        <f t="shared" si="0"/>
        <v>1930</v>
      </c>
      <c r="H7" s="7">
        <f t="shared" si="0"/>
        <v>1910</v>
      </c>
    </row>
    <row r="8" spans="1:8" ht="17.25" x14ac:dyDescent="0.15">
      <c r="A8" s="7" t="s">
        <v>184</v>
      </c>
      <c r="B8" s="7">
        <f>LOOKUP(2,1/([3]prices!$B:$B&lt;&gt;0),[3]prices!$B:$B)</f>
        <v>1910</v>
      </c>
      <c r="C8" s="7">
        <f>LOOKUP(2,1/([3]prices!$B:$B&lt;&gt;0),[3]prices!$B:$B)</f>
        <v>1910</v>
      </c>
      <c r="D8" s="7">
        <f>LOOKUP(2,1/([3]prices!$D:$D&lt;&gt;0),[3]prices!$D:$D)</f>
        <v>1910</v>
      </c>
      <c r="E8" s="7">
        <f>LOOKUP(2,1/([3]prices!$B:$B&lt;&gt;0),[3]prices!$B:$B)</f>
        <v>1910</v>
      </c>
      <c r="F8" s="7">
        <f>LOOKUP(2,1/([3]prices!$D:$D&lt;&gt;0),[3]prices!$D:$D)</f>
        <v>1910</v>
      </c>
      <c r="G8" s="7">
        <f>LOOKUP(2,1/([3]prices!$D:$D&lt;&gt;0),[3]prices!$D:$D)</f>
        <v>1910</v>
      </c>
      <c r="H8" s="7">
        <f>LOOKUP(2,1/([3]prices!$B:$B&lt;&gt;0),[3]prices!$B:$B)</f>
        <v>1910</v>
      </c>
    </row>
    <row r="9" spans="1:8" ht="18" x14ac:dyDescent="0.15">
      <c r="A9" s="74" t="s">
        <v>185</v>
      </c>
      <c r="B9" s="75">
        <f>B8-B7</f>
        <v>-100</v>
      </c>
      <c r="C9" s="75">
        <f t="shared" ref="C9:H9" si="1">C8-C7</f>
        <v>-20</v>
      </c>
      <c r="D9" s="75">
        <f t="shared" si="1"/>
        <v>-60</v>
      </c>
      <c r="E9" s="75">
        <f t="shared" si="1"/>
        <v>20</v>
      </c>
      <c r="F9" s="75">
        <f t="shared" si="1"/>
        <v>-15</v>
      </c>
      <c r="G9" s="75">
        <f t="shared" si="1"/>
        <v>-20</v>
      </c>
      <c r="H9" s="75">
        <f t="shared" si="1"/>
        <v>0</v>
      </c>
    </row>
    <row r="11" spans="1:8" x14ac:dyDescent="0.15">
      <c r="A11" t="s">
        <v>0</v>
      </c>
    </row>
    <row r="12" spans="1:8" ht="17.25" x14ac:dyDescent="0.15">
      <c r="A12" s="8" t="s">
        <v>186</v>
      </c>
      <c r="B12" s="8" t="s">
        <v>54</v>
      </c>
      <c r="C12" s="8" t="s">
        <v>55</v>
      </c>
      <c r="D12" s="8" t="s">
        <v>187</v>
      </c>
      <c r="E12" s="8" t="s">
        <v>276</v>
      </c>
      <c r="F12" s="96" t="s">
        <v>277</v>
      </c>
    </row>
    <row r="13" spans="1:8" ht="17.25" x14ac:dyDescent="0.15">
      <c r="A13" s="7" t="s">
        <v>188</v>
      </c>
      <c r="B13" s="7">
        <v>1682</v>
      </c>
      <c r="C13" s="7">
        <v>1733</v>
      </c>
      <c r="D13" s="76">
        <v>1800</v>
      </c>
      <c r="E13" s="76">
        <v>1780</v>
      </c>
      <c r="F13" s="76">
        <v>1700</v>
      </c>
    </row>
    <row r="14" spans="1:8" ht="17.25" x14ac:dyDescent="0.15">
      <c r="A14" s="7" t="s">
        <v>189</v>
      </c>
      <c r="B14" s="7">
        <f>60+30+20+5+5+5</f>
        <v>125</v>
      </c>
      <c r="C14" s="95">
        <f t="shared" ref="C14:F14" si="2">60+30+20+5+5+5</f>
        <v>125</v>
      </c>
      <c r="D14" s="95">
        <f t="shared" si="2"/>
        <v>125</v>
      </c>
      <c r="E14" s="95">
        <f t="shared" si="2"/>
        <v>125</v>
      </c>
      <c r="F14" s="95">
        <f t="shared" si="2"/>
        <v>125</v>
      </c>
    </row>
    <row r="15" spans="1:8" ht="17.25" x14ac:dyDescent="0.15">
      <c r="A15" s="7" t="s">
        <v>190</v>
      </c>
      <c r="B15" s="7">
        <f>120+10</f>
        <v>130</v>
      </c>
      <c r="C15" s="7">
        <f>85+10</f>
        <v>95</v>
      </c>
      <c r="D15" s="7">
        <f>44+10</f>
        <v>54</v>
      </c>
      <c r="E15" s="7">
        <f>56+10</f>
        <v>66</v>
      </c>
      <c r="F15" s="95">
        <f>140+10</f>
        <v>150</v>
      </c>
    </row>
    <row r="16" spans="1:8" ht="17.25" x14ac:dyDescent="0.15">
      <c r="A16" s="7" t="s">
        <v>95</v>
      </c>
      <c r="B16" s="7">
        <f>B13+B14+B15</f>
        <v>1937</v>
      </c>
      <c r="C16" s="7">
        <f t="shared" ref="C16:E16" si="3">C13+C14+C15</f>
        <v>1953</v>
      </c>
      <c r="D16" s="7">
        <f t="shared" si="3"/>
        <v>1979</v>
      </c>
      <c r="E16" s="7">
        <f t="shared" si="3"/>
        <v>1971</v>
      </c>
      <c r="F16" s="95">
        <f t="shared" ref="F16" si="4">F13+F14+F15</f>
        <v>1975</v>
      </c>
    </row>
    <row r="17" spans="1:6" ht="17.25" x14ac:dyDescent="0.15">
      <c r="A17" s="7" t="s">
        <v>191</v>
      </c>
      <c r="B17" s="7">
        <f>LOOKUP(2,1/([3]prices!$B:$B&lt;&gt;0),[3]prices!$B:$B)</f>
        <v>1910</v>
      </c>
      <c r="C17" s="7">
        <f>LOOKUP(2,1/([3]prices!$D:$D&lt;&gt;0),[3]prices!$D:$D)</f>
        <v>1910</v>
      </c>
      <c r="D17" s="7">
        <f>LOOKUP(2,1/([3]prices!$D:$D&lt;&gt;0),[3]prices!$D:$D)</f>
        <v>1910</v>
      </c>
      <c r="E17" s="7">
        <f>LOOKUP(2,1/([3]prices!$B:$B&lt;&gt;0),[3]prices!$B:$B)</f>
        <v>1910</v>
      </c>
      <c r="F17" s="95">
        <f>LOOKUP(2,1/([3]prices!$B:$B&lt;&gt;0),[3]prices!$B:$B)</f>
        <v>1910</v>
      </c>
    </row>
    <row r="18" spans="1:6" ht="18" x14ac:dyDescent="0.15">
      <c r="A18" s="74" t="s">
        <v>192</v>
      </c>
      <c r="B18" s="75">
        <f>B17-B16</f>
        <v>-27</v>
      </c>
      <c r="C18" s="75">
        <f t="shared" ref="C18:E18" si="5">C17-C16</f>
        <v>-43</v>
      </c>
      <c r="D18" s="75">
        <f t="shared" si="5"/>
        <v>-69</v>
      </c>
      <c r="E18" s="75">
        <f t="shared" si="5"/>
        <v>-61</v>
      </c>
      <c r="F18" s="75">
        <f t="shared" ref="F18" si="6">F17-F16</f>
        <v>-65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4" workbookViewId="0">
      <selection activeCell="H26" sqref="H26:H29"/>
    </sheetView>
  </sheetViews>
  <sheetFormatPr defaultRowHeight="13.5" x14ac:dyDescent="0.15"/>
  <cols>
    <col min="1" max="1" width="11.5" bestFit="1" customWidth="1"/>
    <col min="2" max="2" width="10.125" customWidth="1"/>
    <col min="11" max="11" width="10.5" bestFit="1" customWidth="1"/>
  </cols>
  <sheetData>
    <row r="1" spans="1:9" ht="17.25" x14ac:dyDescent="0.3">
      <c r="A1" s="10">
        <f ca="1">TODAY()</f>
        <v>43615</v>
      </c>
      <c r="B1" s="77" t="s">
        <v>193</v>
      </c>
      <c r="C1" s="8" t="s">
        <v>38</v>
      </c>
      <c r="D1" s="8" t="s">
        <v>194</v>
      </c>
      <c r="E1" s="101" t="s">
        <v>195</v>
      </c>
      <c r="F1" s="101"/>
      <c r="G1" s="8" t="s">
        <v>196</v>
      </c>
      <c r="H1" s="8" t="s">
        <v>194</v>
      </c>
      <c r="I1" s="8" t="s">
        <v>197</v>
      </c>
    </row>
    <row r="2" spans="1:9" ht="17.25" x14ac:dyDescent="0.3">
      <c r="A2" s="100" t="s">
        <v>198</v>
      </c>
      <c r="B2" s="78" t="s">
        <v>199</v>
      </c>
      <c r="C2" s="79">
        <f>LOOKUP(2,1/([3]prices!W:W&lt;&gt;0),[3]prices!W:W)</f>
        <v>1720</v>
      </c>
      <c r="D2" s="80">
        <f>INDEX([3]prices!W:W,COUNTA([3]prices!$A:$A)+1)-INDEX([3]prices!W:W,COUNTA([3]prices!$A:$A)-4)</f>
        <v>0</v>
      </c>
      <c r="E2" s="100" t="s">
        <v>126</v>
      </c>
      <c r="F2" s="83" t="s">
        <v>200</v>
      </c>
      <c r="G2" s="7">
        <f>LOOKUP(2,1/([3]prices!B:B&lt;&gt;0),[3]prices!B:B)</f>
        <v>1910</v>
      </c>
      <c r="H2" s="80">
        <f>INDEX([3]prices!B:B,COUNTA([3]prices!$A:$A)+1)-INDEX([3]prices!B:B,COUNTA([3]prices!$A:$A)-4)</f>
        <v>10</v>
      </c>
      <c r="I2" s="100"/>
    </row>
    <row r="3" spans="1:9" ht="17.25" x14ac:dyDescent="0.3">
      <c r="A3" s="100"/>
      <c r="B3" s="78" t="s">
        <v>84</v>
      </c>
      <c r="C3" s="79">
        <f>LOOKUP(2,1/([3]prices!V:V&lt;&gt;0),[3]prices!V:V)</f>
        <v>1610</v>
      </c>
      <c r="D3" s="80">
        <f>INDEX([3]prices!V:V,COUNTA([3]prices!$A:$A)+1)-INDEX([3]prices!V:V,COUNTA([3]prices!$A:$A)-4)</f>
        <v>0</v>
      </c>
      <c r="E3" s="100"/>
      <c r="F3" s="83" t="s">
        <v>201</v>
      </c>
      <c r="G3" s="80">
        <f>INDEX([3]prices!C:C,COUNTA([3]prices!$A:$A)+1)</f>
        <v>0</v>
      </c>
      <c r="H3" s="80"/>
      <c r="I3" s="100"/>
    </row>
    <row r="4" spans="1:9" ht="17.25" x14ac:dyDescent="0.3">
      <c r="A4" s="100"/>
      <c r="B4" s="78" t="s">
        <v>202</v>
      </c>
      <c r="C4" s="79">
        <f>LOOKUP(2,1/([3]prices!$AB:$AB&lt;&gt;0),[3]prices!$AB:$AB)</f>
        <v>1780</v>
      </c>
      <c r="D4" s="80">
        <f>INDEX([3]prices!AB:AB,COUNTA([3]prices!A:A)+1)-INDEX([3]prices!AB:AB,COUNTA([3]prices!A:A)-4)</f>
        <v>0</v>
      </c>
      <c r="E4" s="100"/>
      <c r="F4" s="83" t="s">
        <v>259</v>
      </c>
      <c r="G4" s="7">
        <f>LOOKUP(2,1/([3]prices!D:D&lt;&gt;0),[3]prices!D:D)</f>
        <v>1910</v>
      </c>
      <c r="H4" s="80">
        <f>INDEX([3]prices!D:D,COUNTA([3]prices!$A:$A)+1)-INDEX([3]prices!D:D,COUNTA([3]prices!$A:$A)-4)</f>
        <v>10</v>
      </c>
      <c r="I4" s="100"/>
    </row>
    <row r="5" spans="1:9" ht="17.25" x14ac:dyDescent="0.3">
      <c r="A5" s="100"/>
      <c r="B5" s="78" t="s">
        <v>203</v>
      </c>
      <c r="C5" s="79">
        <f>LOOKUP(2,1/([3]prices!AC:AC&lt;&gt;0),[3]prices!AC:AC)</f>
        <v>1710</v>
      </c>
      <c r="D5" s="80">
        <f>INDEX([3]prices!AC:AC,COUNTA([3]prices!A:A)+1)-INDEX([3]prices!AC:AC,COUNTA([3]prices!A:A)-4)</f>
        <v>0</v>
      </c>
      <c r="E5" s="100"/>
      <c r="F5" s="83" t="s">
        <v>260</v>
      </c>
      <c r="G5" s="80">
        <f>INDEX([3]prices!E:E,COUNTA([3]prices!$A:$A)+1)</f>
        <v>0</v>
      </c>
      <c r="H5" s="80"/>
      <c r="I5" s="100"/>
    </row>
    <row r="6" spans="1:9" ht="17.25" x14ac:dyDescent="0.3">
      <c r="A6" s="100"/>
      <c r="B6" s="78" t="s">
        <v>204</v>
      </c>
      <c r="C6" s="79">
        <f>LOOKUP(2,1/([3]prices!AD:AD&lt;&gt;0),[3]prices!AD:AD)</f>
        <v>1810</v>
      </c>
      <c r="D6" s="80">
        <f>INDEX([3]prices!AD:AD,COUNTA([3]prices!A:A)+1)-INDEX([3]prices!AD:AD,COUNTA([3]prices!A:A)-4)</f>
        <v>40</v>
      </c>
      <c r="E6" s="100"/>
      <c r="F6" s="84" t="s">
        <v>205</v>
      </c>
      <c r="G6" s="7">
        <f>LOOKUP(2,1/([3]prices!H:H&lt;&gt;0),[3]prices!H:H)</f>
        <v>2010</v>
      </c>
      <c r="H6" s="80">
        <f>INDEX([3]prices!H:H,COUNTA([3]prices!$A:$A)+1)-INDEX([3]prices!H:H,COUNTA([3]prices!$A:$A)-4)</f>
        <v>0</v>
      </c>
      <c r="I6" s="7"/>
    </row>
    <row r="7" spans="1:9" ht="17.25" x14ac:dyDescent="0.3">
      <c r="A7" s="100"/>
      <c r="B7" s="78" t="s">
        <v>206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100"/>
      <c r="F7" s="83" t="s">
        <v>207</v>
      </c>
      <c r="G7" s="7">
        <f>LOOKUP(2,1/([3]prices!L:L&lt;&gt;0),[3]prices!L:L)</f>
        <v>2030</v>
      </c>
      <c r="H7" s="80">
        <f>INDEX([3]prices!L:L,COUNTA([3]prices!$A:$A)+1)-INDEX([3]prices!L:L,COUNTA([3]prices!$A:$A)-4)</f>
        <v>10</v>
      </c>
      <c r="I7" s="7"/>
    </row>
    <row r="8" spans="1:9" ht="17.25" x14ac:dyDescent="0.3">
      <c r="A8" s="100"/>
      <c r="B8" s="78" t="s">
        <v>91</v>
      </c>
      <c r="C8" s="79">
        <f>LOOKUP(2,1/([3]prices!$X:$X&lt;&gt;0),[3]prices!$X:$X)</f>
        <v>1630</v>
      </c>
      <c r="D8" s="80">
        <f>INDEX([3]prices!X:X,COUNTA([3]prices!A:A)+1)-INDEX([3]prices!X:X,COUNTA([3]prices!A:A)-4)</f>
        <v>0</v>
      </c>
      <c r="E8" s="100"/>
      <c r="F8" s="83" t="s">
        <v>208</v>
      </c>
      <c r="G8" s="7">
        <f>LOOKUP(2,1/([3]prices!J:J&lt;&gt;0),[3]prices!J:J)</f>
        <v>2040</v>
      </c>
      <c r="H8" s="80">
        <f>INDEX([3]prices!J:J,COUNTA([3]prices!$A:$A)+1)-INDEX([3]prices!J:J,COUNTA([3]prices!$A:$A)-4)</f>
        <v>0</v>
      </c>
      <c r="I8" s="7"/>
    </row>
    <row r="9" spans="1:9" ht="17.25" x14ac:dyDescent="0.3">
      <c r="A9" s="100"/>
      <c r="B9" s="78" t="s">
        <v>92</v>
      </c>
      <c r="C9" s="79" t="str">
        <f>LOOKUP(2,1/([3]prices!AE:AE&lt;&gt;0),[3]prices!AE:AE)</f>
        <v>停收</v>
      </c>
      <c r="D9" s="80">
        <f>INDEX([3]prices!AE:AE,COUNTA([3]prices!A:A)+1)-INDEX([3]prices!AE:AE,COUNTA([3]prices!A:A)-2)</f>
        <v>0</v>
      </c>
      <c r="E9" s="100"/>
      <c r="F9" s="83" t="s">
        <v>209</v>
      </c>
      <c r="G9" s="7">
        <f>LOOKUP(2,1/([3]prices!N:N&lt;&gt;0),[3]prices!N:N)</f>
        <v>2040</v>
      </c>
      <c r="H9" s="80">
        <f>INDEX([3]prices!N:N,COUNTA([3]prices!$A:$A)+1)-INDEX([3]prices!N:N,COUNTA([3]prices!$A:$A)-4)</f>
        <v>0</v>
      </c>
      <c r="I9" s="7"/>
    </row>
    <row r="10" spans="1:9" ht="17.25" x14ac:dyDescent="0.3">
      <c r="A10" s="100"/>
      <c r="B10" s="78" t="s">
        <v>210</v>
      </c>
      <c r="C10" s="79" t="str">
        <f>LOOKUP(2,1/([3]prices!$AH:$AH&lt;&gt;0),[3]prices!$AH:$AH)</f>
        <v>停收</v>
      </c>
      <c r="D10" s="80">
        <f>INDEX([3]prices!AH:AH,COUNTA([3]prices!A:A)+1)-INDEX([3]prices!AH:AH,COUNTA([3]prices!A:A)-2)</f>
        <v>0</v>
      </c>
      <c r="E10" s="100" t="s">
        <v>211</v>
      </c>
      <c r="F10" s="83" t="s">
        <v>212</v>
      </c>
      <c r="G10" s="7">
        <f>LOOKUP(2,1/([3]prices!BL:BL&lt;&gt;0),[3]prices!BL:BL)</f>
        <v>2100</v>
      </c>
      <c r="H10" s="80">
        <f>INDEX([3]prices!BL:BL,COUNTA([3]prices!A:A)+1)-INDEX([3]prices!BL:BL,COUNTA([3]prices!A:A)-4)</f>
        <v>0</v>
      </c>
      <c r="I10" s="7"/>
    </row>
    <row r="11" spans="1:9" ht="17.25" x14ac:dyDescent="0.3">
      <c r="A11" s="100" t="s">
        <v>213</v>
      </c>
      <c r="B11" s="78" t="s">
        <v>214</v>
      </c>
      <c r="C11" s="79">
        <f>LOOKUP(2,1/([3]prices!AO:AO&lt;&gt;0),[3]prices!AO:AO)</f>
        <v>1660</v>
      </c>
      <c r="D11" s="80">
        <f>INDEX([3]prices!AO:AO,COUNTA([3]prices!A:A)+1)-INDEX([3]prices!AO:AO,COUNTA([3]prices!A:A)-4)</f>
        <v>0</v>
      </c>
      <c r="E11" s="100"/>
      <c r="F11" s="83" t="s">
        <v>215</v>
      </c>
      <c r="G11" s="7">
        <f>LOOKUP(2,1/([3]prices!BJ:BJ&lt;&gt;0),[3]prices!BJ:BJ)</f>
        <v>2080</v>
      </c>
      <c r="H11" s="80">
        <f>INDEX([3]prices!BJ:BJ,COUNTA([3]prices!A:A)+1)-INDEX([3]prices!BJ:BJ,COUNTA([3]prices!A:A)-4)</f>
        <v>-20</v>
      </c>
      <c r="I11" s="7"/>
    </row>
    <row r="12" spans="1:9" ht="17.25" x14ac:dyDescent="0.15">
      <c r="A12" s="100"/>
      <c r="B12" s="84" t="s">
        <v>216</v>
      </c>
      <c r="C12" s="79">
        <f>LOOKUP(2,1/([3]prices!AP:AP&lt;&gt;0),[3]prices!AP:AP)</f>
        <v>1750</v>
      </c>
      <c r="D12" s="80">
        <f>INDEX([3]prices!AP:AP,COUNTA([3]prices!A:A)+1)-INDEX([3]prices!AP:AP,COUNTA([3]prices!A:A)-4)</f>
        <v>0</v>
      </c>
      <c r="E12" s="100"/>
      <c r="F12" s="83" t="s">
        <v>217</v>
      </c>
      <c r="G12" s="7">
        <f>LOOKUP(2,1/([3]prices!BI:BI&lt;&gt;0),[3]prices!BI:BI)</f>
        <v>2250</v>
      </c>
      <c r="H12" s="80">
        <f>INDEX([3]prices!BI:BI,COUNTA([3]prices!A:A)+1)-INDEX([3]prices!BI:BI,COUNTA([3]prices!A:A)-4)</f>
        <v>20</v>
      </c>
      <c r="I12" s="7"/>
    </row>
    <row r="13" spans="1:9" ht="17.25" x14ac:dyDescent="0.15">
      <c r="A13" s="100"/>
      <c r="B13" s="84" t="s">
        <v>87</v>
      </c>
      <c r="C13" s="79">
        <f>LOOKUP(2,1/([3]prices!$AK:$AK&lt;&gt;0),[3]prices!$AK:$AK)</f>
        <v>1750</v>
      </c>
      <c r="D13" s="80">
        <f>INDEX([3]prices!AK:AK,COUNTA([3]prices!A:A)+1)-INDEX([3]prices!AK:AK,COUNTA([3]prices!A:A)-4)</f>
        <v>0</v>
      </c>
      <c r="E13" s="100"/>
      <c r="F13" s="83" t="s">
        <v>218</v>
      </c>
      <c r="G13" s="7">
        <f>LOOKUP(2,1/([3]prices!BK:BK&lt;&gt;0),[3]prices!BK:BK)</f>
        <v>2070</v>
      </c>
      <c r="H13" s="80">
        <f>INDEX([3]prices!BK:BK,COUNTA([3]prices!A:A)+1)-INDEX([3]prices!BK:BK,COUNTA([3]prices!A:A)-4)</f>
        <v>0</v>
      </c>
      <c r="I13" s="7"/>
    </row>
    <row r="14" spans="1:9" ht="17.25" x14ac:dyDescent="0.15">
      <c r="A14" s="100"/>
      <c r="B14" s="83" t="s">
        <v>219</v>
      </c>
      <c r="C14" s="7">
        <f>LOOKUP(2,1/([3]prices!AQ:AQ&lt;&gt;0),[3]prices!AQ:AQ)</f>
        <v>1800</v>
      </c>
      <c r="D14" s="80">
        <f>INDEX([3]prices!AQ:AQ,COUNTA([3]prices!A:A)+1)-INDEX([3]prices!AQ:AQ,COUNTA([3]prices!A:A)-4)</f>
        <v>0</v>
      </c>
      <c r="E14" s="85" t="s">
        <v>220</v>
      </c>
      <c r="F14" s="85" t="s">
        <v>221</v>
      </c>
      <c r="G14" s="85" t="s">
        <v>222</v>
      </c>
      <c r="H14" s="85" t="s">
        <v>223</v>
      </c>
      <c r="I14" s="85" t="s">
        <v>224</v>
      </c>
    </row>
    <row r="15" spans="1:9" ht="17.25" x14ac:dyDescent="0.15">
      <c r="A15" s="100"/>
      <c r="B15" s="83" t="s">
        <v>225</v>
      </c>
      <c r="C15" s="7">
        <f>LOOKUP(2,1/([3]prices!AR:AR&lt;&gt;0),[3]prices!AR:AR)</f>
        <v>1680</v>
      </c>
      <c r="D15" s="80">
        <f>INDEX([3]prices!AR:AR,COUNTA([3]prices!A:A)+1)-INDEX([3]prices!AR:AR,COUNTA([3]prices!A:A)-4)</f>
        <v>0</v>
      </c>
      <c r="E15" s="83" t="s">
        <v>226</v>
      </c>
      <c r="F15" s="7">
        <f>INDEX([4]Sheet1!$D:$D,COUNTA([4]Sheet1!$A:$A)-1)</f>
        <v>202.6</v>
      </c>
      <c r="G15" s="7">
        <f>INDEX([4]Sheet1!$B:$B,COUNTA([4]Sheet1!$A:$A))</f>
        <v>9.1</v>
      </c>
      <c r="H15" s="7">
        <f>INDEX([4]Sheet1!$C:$C,COUNTA([4]Sheet1!$A:$A))</f>
        <v>16.600000000000001</v>
      </c>
      <c r="I15" s="7">
        <f>INDEX([4]Sheet1!$D:$D,COUNTA([4]Sheet1!$A:$A))</f>
        <v>195.1</v>
      </c>
    </row>
    <row r="16" spans="1:9" ht="17.25" x14ac:dyDescent="0.15">
      <c r="A16" s="100"/>
      <c r="B16" s="83" t="s">
        <v>227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228</v>
      </c>
      <c r="F16" s="7">
        <f>INDEX([4]Sheet1!$G:$G,COUNTA([4]Sheet1!$A:$A)-1)</f>
        <v>183.7</v>
      </c>
      <c r="G16" s="7">
        <f>INDEX([4]Sheet1!$E:$E,COUNTA([4]Sheet1!$A:$A))</f>
        <v>10</v>
      </c>
      <c r="H16" s="7">
        <f>INDEX([4]Sheet1!$F:$F,COUNTA([4]Sheet1!$A:$A))</f>
        <v>19</v>
      </c>
      <c r="I16" s="7">
        <f>INDEX([4]Sheet1!$G:$G,COUNTA([4]Sheet1!$A:$A))</f>
        <v>174.7</v>
      </c>
    </row>
    <row r="17" spans="1:12" ht="17.25" x14ac:dyDescent="0.15">
      <c r="A17" s="100" t="s">
        <v>229</v>
      </c>
      <c r="B17" s="83" t="s">
        <v>230</v>
      </c>
      <c r="C17" s="7">
        <f>LOOKUP(2,1/([3]prices!AW:AW&lt;&gt;0),[3]prices!AW:AW)</f>
        <v>1750</v>
      </c>
      <c r="D17" s="80">
        <f>INDEX([3]prices!AW:AW,COUNTA([3]prices!A:A)+1)-INDEX([3]prices!AW:AW,COUNTA([3]prices!A:A)-4)</f>
        <v>0</v>
      </c>
      <c r="E17" s="83" t="s">
        <v>231</v>
      </c>
      <c r="F17" s="7">
        <f>INDEX([4]Sheet1!$J:$J,COUNTA([4]Sheet1!$A:$A)-1)</f>
        <v>58.599999999999994</v>
      </c>
      <c r="G17" s="7">
        <f>INDEX([4]Sheet1!$H:$H,COUNTA([4]Sheet1!$A:$A))</f>
        <v>5.4</v>
      </c>
      <c r="H17" s="7">
        <f>INDEX([4]Sheet1!$I:$I,COUNTA([4]Sheet1!$A:$A))</f>
        <v>3.5</v>
      </c>
      <c r="I17" s="7">
        <f>INDEX([4]Sheet1!$J:$J,COUNTA([4]Sheet1!$A:$A))</f>
        <v>60.499999999999993</v>
      </c>
    </row>
    <row r="18" spans="1:12" ht="17.25" x14ac:dyDescent="0.15">
      <c r="A18" s="100"/>
      <c r="B18" s="83" t="s">
        <v>232</v>
      </c>
      <c r="C18" s="7">
        <f>LOOKUP(2,1/([3]prices!AX:AX&lt;&gt;0),[3]prices!AX:AX)</f>
        <v>1740</v>
      </c>
      <c r="D18" s="80">
        <f>INDEX([3]prices!AX:AX,COUNTA([3]prices!A:A)+1)-INDEX([3]prices!AX:AX,COUNTA([3]prices!A:A)-4)</f>
        <v>0</v>
      </c>
      <c r="E18" s="83" t="s">
        <v>233</v>
      </c>
      <c r="F18" s="7">
        <f>INDEX([4]Sheet1!$M:$M,COUNTA([4]Sheet1!$A:$A)-1)</f>
        <v>22</v>
      </c>
      <c r="G18" s="7">
        <f>INDEX([4]Sheet1!$K:$K,COUNTA([4]Sheet1!$A:$A))</f>
        <v>0</v>
      </c>
      <c r="H18" s="7">
        <f>INDEX([4]Sheet1!$L:$L,COUNTA([4]Sheet1!$A:$A))</f>
        <v>4.5</v>
      </c>
      <c r="I18" s="7">
        <f>INDEX([4]Sheet1!$M:$M,COUNTA([4]Sheet1!$A:$A))</f>
        <v>17.5</v>
      </c>
    </row>
    <row r="19" spans="1:12" ht="17.25" x14ac:dyDescent="0.15">
      <c r="A19" s="7" t="s">
        <v>187</v>
      </c>
      <c r="B19" s="83" t="s">
        <v>234</v>
      </c>
      <c r="C19" s="7">
        <f>LOOKUP(2,1/([3]prices!$AT:$AT&lt;&gt;0),[3]prices!$AT:$AT)</f>
        <v>1850</v>
      </c>
      <c r="D19" s="80">
        <f>INDEX([3]prices!AT:AT,COUNTA([3]prices!A:A)+1)-INDEX([3]prices!AT:AT,COUNTA([3]prices!A:A)-4)</f>
        <v>0</v>
      </c>
      <c r="E19" s="83" t="s">
        <v>258</v>
      </c>
      <c r="F19" s="7">
        <f>INDEX([5]Sheet1!$D:$D,COUNTA([5]Sheet1!$A:$A)-1)</f>
        <v>64.2</v>
      </c>
      <c r="G19" s="7">
        <f>INDEX([5]Sheet1!$B:$B,COUNTA([5]Sheet1!$A:$A))</f>
        <v>21.6</v>
      </c>
      <c r="H19" s="7">
        <f>INDEX([5]Sheet1!$C:$C,COUNTA([5]Sheet1!$A:$A))</f>
        <v>16</v>
      </c>
      <c r="I19" s="7">
        <f>INDEX([5]Sheet1!$D:$D,COUNTA([5]Sheet1!$A:$A))</f>
        <v>69.8</v>
      </c>
    </row>
    <row r="20" spans="1:12" ht="17.25" x14ac:dyDescent="0.15">
      <c r="A20" s="100" t="s">
        <v>58</v>
      </c>
      <c r="B20" s="83" t="s">
        <v>235</v>
      </c>
      <c r="C20" s="7">
        <f>LOOKUP(2,1/([3]prices!$AY:$AY&lt;&gt;0),[3]prices!$AY:$AY)</f>
        <v>1960</v>
      </c>
      <c r="D20" s="80">
        <f>INDEX([3]prices!AY:AY,COUNTA([3]prices!A:A)+1)-INDEX([3]prices!AY:AY,COUNTA([3]prices!A:A)-4)</f>
        <v>50</v>
      </c>
      <c r="E20" s="83" t="s">
        <v>236</v>
      </c>
      <c r="F20" s="7">
        <f>INDEX([5]Sheet1!$J:$J,COUNTA([5]Sheet1!$A:$A)-1)</f>
        <v>18.7</v>
      </c>
      <c r="G20" s="7">
        <f>INDEX([5]Sheet1!$H:$H,COUNTA([5]Sheet1!$A:$A))</f>
        <v>0</v>
      </c>
      <c r="H20" s="7">
        <f>INDEX([5]Sheet1!$I:$I,COUNTA([5]Sheet1!$A:$A))</f>
        <v>4.8</v>
      </c>
      <c r="I20" s="7">
        <f>INDEX([5]Sheet1!$J:$J,COUNTA([5]Sheet1!$A:$A))</f>
        <v>13.9</v>
      </c>
      <c r="K20">
        <f>I19-F19</f>
        <v>5.5999999999999943</v>
      </c>
    </row>
    <row r="21" spans="1:12" ht="17.25" x14ac:dyDescent="0.15">
      <c r="A21" s="100"/>
      <c r="B21" s="83" t="s">
        <v>237</v>
      </c>
      <c r="C21" s="7">
        <f>LOOKUP(2,1/([3]prices!$AZ:$AZ&lt;&gt;0),[3]prices!$AZ:$AZ)</f>
        <v>1960</v>
      </c>
      <c r="D21" s="80">
        <f>INDEX([3]prices!AZ:AZ,COUNTA([3]prices!A:A)+1)-INDEX([3]prices!AZ:AZ,COUNTA([3]prices!A:A)-4)</f>
        <v>10</v>
      </c>
      <c r="E21" s="83" t="s">
        <v>238</v>
      </c>
      <c r="F21" s="7">
        <f>INDEX([5]Sheet1!$M:$M,COUNTA([5]Sheet1!$A:$A)-1)</f>
        <v>12.2</v>
      </c>
      <c r="G21" s="7">
        <f>INDEX([5]Sheet1!$K:$K,COUNTA([5]Sheet1!$A:$A))</f>
        <v>2</v>
      </c>
      <c r="H21" s="7">
        <f>INDEX([5]Sheet1!$L:$L,COUNTA([5]Sheet1!$A:$A))</f>
        <v>2.5</v>
      </c>
      <c r="I21" s="7">
        <f>INDEX([5]Sheet1!$M:$M,COUNTA([5]Sheet1!$A:$A))</f>
        <v>11.7</v>
      </c>
    </row>
    <row r="22" spans="1:12" ht="17.25" x14ac:dyDescent="0.15">
      <c r="A22" s="100" t="s">
        <v>239</v>
      </c>
      <c r="B22" s="83" t="s">
        <v>240</v>
      </c>
      <c r="C22" s="7">
        <f>LOOKUP(2,1/([3]prices!$BC:$BC&lt;&gt;0),[3]prices!$BC:$BC)</f>
        <v>2070</v>
      </c>
      <c r="D22" s="80">
        <f>INDEX([3]prices!BC:BC,COUNTA([3]prices!A:A)+1)-INDEX([3]prices!BC:BC,COUNTA([3]prices!A:A)-4)</f>
        <v>30</v>
      </c>
      <c r="E22" s="102" t="s">
        <v>241</v>
      </c>
      <c r="F22" s="102"/>
      <c r="G22" s="85" t="s">
        <v>242</v>
      </c>
      <c r="H22" s="85" t="s">
        <v>243</v>
      </c>
      <c r="I22" s="85" t="s">
        <v>53</v>
      </c>
    </row>
    <row r="23" spans="1:12" ht="17.25" x14ac:dyDescent="0.15">
      <c r="A23" s="100"/>
      <c r="B23" s="83" t="s">
        <v>244</v>
      </c>
      <c r="C23" s="7">
        <f>LOOKUP(2,1/([3]prices!$BD:$BD&lt;&gt;0),[3]prices!$BD:$BD)</f>
        <v>2130</v>
      </c>
      <c r="D23" s="80">
        <f>INDEX([3]prices!BD:BD,COUNTA([3]prices!A:A)+1)-INDEX([3]prices!BD:BD,COUNTA([3]prices!A:A)-4)</f>
        <v>50</v>
      </c>
      <c r="E23" s="103" t="s">
        <v>245</v>
      </c>
      <c r="F23" s="103"/>
      <c r="G23" s="7">
        <f>SUM(I15:I18)</f>
        <v>447.79999999999995</v>
      </c>
      <c r="H23" s="7">
        <f>SUM(INDEX([4]Sheet1!$D:$D,K23)+INDEX([4]Sheet1!$G:$G,K23)+INDEX([4]Sheet1!$J:$J,K23)+INDEX([4]Sheet1!$M:$M,K23))</f>
        <v>353.9</v>
      </c>
      <c r="I23" s="81">
        <f>(G23-H23)/H23</f>
        <v>0.26532918903645092</v>
      </c>
      <c r="K23" s="82">
        <f>COUNTA([4]Sheet1!$A:$A)-52</f>
        <v>228</v>
      </c>
    </row>
    <row r="24" spans="1:12" ht="17.25" x14ac:dyDescent="0.15">
      <c r="A24" s="100"/>
      <c r="B24" s="83" t="s">
        <v>107</v>
      </c>
      <c r="C24" s="7">
        <f>LOOKUP(2,1/([3]prices!$BE:$BE&lt;&gt;0),[3]prices!$BE:$BE)</f>
        <v>2080</v>
      </c>
      <c r="D24" s="80">
        <f>INDEX([3]prices!BE:BE,COUNTA([3]prices!A:A)+1)-INDEX([3]prices!BE:BE,COUNTA([3]prices!A:A)-4)</f>
        <v>60</v>
      </c>
      <c r="E24" s="103" t="s">
        <v>257</v>
      </c>
      <c r="F24" s="103"/>
      <c r="G24" s="7">
        <f>SUM(INDEX([5]Sheet1!$D:$D,K24)+INDEX([5]Sheet1!$G:$G,K24))</f>
        <v>111.8</v>
      </c>
      <c r="H24" s="7">
        <f>SUM(INDEX([5]Sheet1!$D:$D,L24)+INDEX([5]Sheet1!$G:$G,L24))</f>
        <v>107.8</v>
      </c>
      <c r="I24" s="81">
        <f>(G24-H24)/H24</f>
        <v>3.7105751391465679E-2</v>
      </c>
      <c r="K24" s="82">
        <f>COUNTA([5]Sheet1!$A:$A)</f>
        <v>281</v>
      </c>
      <c r="L24">
        <f>K24-52</f>
        <v>229</v>
      </c>
    </row>
    <row r="25" spans="1:12" ht="17.25" x14ac:dyDescent="0.15">
      <c r="A25" s="100"/>
      <c r="B25" s="83" t="s">
        <v>246</v>
      </c>
      <c r="C25" s="7">
        <f>LOOKUP(2,1/([3]prices!BF:BF&lt;&gt;0),[3]prices!BF:BF)</f>
        <v>2040</v>
      </c>
      <c r="D25" s="80">
        <f>INDEX([3]prices!BF:BF,COUNTA([3]prices!A:A)+1)-INDEX([3]prices!BF:BF,COUNTA([3]prices!A:A)-4)</f>
        <v>40</v>
      </c>
      <c r="E25" s="85" t="s">
        <v>247</v>
      </c>
      <c r="F25" s="85" t="s">
        <v>108</v>
      </c>
      <c r="G25" s="85" t="s">
        <v>248</v>
      </c>
      <c r="H25" s="85" t="s">
        <v>249</v>
      </c>
      <c r="I25" s="85" t="s">
        <v>250</v>
      </c>
    </row>
    <row r="26" spans="1:12" ht="17.25" x14ac:dyDescent="0.15">
      <c r="A26" s="100"/>
      <c r="B26" s="83" t="s">
        <v>251</v>
      </c>
      <c r="C26" s="7">
        <f>LOOKUP(2,1/([3]prices!BB:BB&lt;&gt;0),[3]prices!BB:BB)</f>
        <v>2010</v>
      </c>
      <c r="D26" s="80">
        <f>INDEX([3]prices!BB:BB,COUNTA([3]prices!A:A)+1)-INDEX([3]prices!BB:BB,COUNTA([3]prices!A:A)-4)</f>
        <v>70</v>
      </c>
      <c r="E26" s="84" t="s">
        <v>252</v>
      </c>
      <c r="F26" s="7">
        <f>LOOKUP(2,1/([3]prices!$H:$H&lt;&gt;0),[3]prices!$H:$H)</f>
        <v>2010</v>
      </c>
      <c r="G26" s="7">
        <f>LOOKUP(2,1/([3]prices!$P:$P&lt;&gt;0),[3]prices!$P:$P)</f>
        <v>53</v>
      </c>
      <c r="H26" s="43">
        <f>LOOKUP(2,1/([3]prices!$I:$I&lt;&gt;0),[3]prices!$I:$I)</f>
        <v>-43</v>
      </c>
      <c r="I26" s="80">
        <f>INDEX([3]prices!I:I,COUNTA([3]prices!$A:$A)+1)-INDEX([3]prices!I:I,COUNTA([3]prices!$A:$A)-4)</f>
        <v>-8</v>
      </c>
    </row>
    <row r="27" spans="1:12" ht="17.25" x14ac:dyDescent="0.15">
      <c r="A27" s="100"/>
      <c r="B27" s="83" t="s">
        <v>105</v>
      </c>
      <c r="C27" s="7">
        <f>LOOKUP(2,1/([3]prices!BA:BA&lt;&gt;0),[3]prices!BA:BA)</f>
        <v>2060</v>
      </c>
      <c r="D27" s="80">
        <f>INDEX([3]prices!BA:BA,COUNTA([3]prices!A:A)+1)-INDEX([3]prices!BA:BA,COUNTA([3]prices!A:A)-4)</f>
        <v>60</v>
      </c>
      <c r="E27" s="83" t="s">
        <v>253</v>
      </c>
      <c r="F27" s="7">
        <f>LOOKUP(2,1/([3]prices!$L:$L&lt;&gt;0),[3]prices!$L:$L)</f>
        <v>2030</v>
      </c>
      <c r="G27" s="7">
        <f>LOOKUP(2,1/([3]prices!$Q:$Q&lt;&gt;0),[3]prices!$Q:$Q)</f>
        <v>61</v>
      </c>
      <c r="H27" s="43">
        <f>LOOKUP(2,1/([3]prices!$M:$M&lt;&gt;0),[3]prices!$M:$M)</f>
        <v>-31</v>
      </c>
      <c r="I27" s="80">
        <f>INDEX([3]prices!M:M,COUNTA([3]prices!$A:$A)+1)-INDEX([3]prices!M:M,COUNTA([3]prices!$A:$A)-4)</f>
        <v>6</v>
      </c>
    </row>
    <row r="28" spans="1:12" ht="17.25" x14ac:dyDescent="0.15">
      <c r="A28" s="100"/>
      <c r="B28" s="83" t="s">
        <v>254</v>
      </c>
      <c r="C28" s="7">
        <f>LOOKUP(2,1/([3]prices!BG:BG&lt;&gt;0),[3]prices!BG:BG)</f>
        <v>2090</v>
      </c>
      <c r="D28" s="80">
        <f>INDEX([3]prices!BG:BG,COUNTA([3]prices!A:A)+1)-INDEX([3]prices!BG:BG,COUNTA([3]prices!A:A)-4)</f>
        <v>60</v>
      </c>
      <c r="E28" s="83" t="s">
        <v>238</v>
      </c>
      <c r="F28" s="7">
        <f>LOOKUP(2,1/([3]prices!$J:$J&lt;&gt;0),[3]prices!$J:$J)</f>
        <v>2040</v>
      </c>
      <c r="G28" s="7">
        <f>LOOKUP(2,1/([3]prices!$R:$R&lt;&gt;0),[3]prices!$R:$R)</f>
        <v>51</v>
      </c>
      <c r="H28" s="43">
        <f>LOOKUP(2,1/([3]prices!$K:$K&lt;&gt;0),[3]prices!$K:$K)</f>
        <v>-11</v>
      </c>
      <c r="I28" s="80">
        <f>INDEX([3]prices!K:K,COUNTA([3]prices!$A:$A)+1)-INDEX([3]prices!K:K,COUNTA([3]prices!$A:$A)-4)</f>
        <v>-8</v>
      </c>
    </row>
    <row r="29" spans="1:12" ht="17.25" x14ac:dyDescent="0.15">
      <c r="A29" s="100"/>
      <c r="B29" s="83" t="s">
        <v>255</v>
      </c>
      <c r="C29" s="7">
        <f>LOOKUP(2,1/([3]prices!BH:BH&lt;&gt;0),[3]prices!BH:BH)</f>
        <v>2080</v>
      </c>
      <c r="D29" s="80">
        <f>INDEX([3]prices!BH:BH,COUNTA([3]prices!A:A)+1)-INDEX([3]prices!BH:BH,COUNTA([3]prices!A:A)-4)</f>
        <v>40</v>
      </c>
      <c r="E29" s="83" t="s">
        <v>256</v>
      </c>
      <c r="F29" s="7">
        <f>LOOKUP(2,1/([3]prices!$N:$N&lt;&gt;0),[3]prices!$N:$N)</f>
        <v>2040</v>
      </c>
      <c r="G29" s="7">
        <f>LOOKUP(2,1/([3]prices!$S:$S&lt;&gt;0),[3]prices!$S:$S)</f>
        <v>45</v>
      </c>
      <c r="H29" s="43">
        <f>LOOKUP(2,1/([3]prices!$O:$O&lt;&gt;0),[3]prices!$O:$O)</f>
        <v>-5</v>
      </c>
      <c r="I29" s="80">
        <f>INDEX([3]prices!O:O,COUNTA([3]prices!$A:$A)+1)-INDEX([3]prices!O:O,COUNTA([3]prices!$A:$A)-4)</f>
        <v>-8</v>
      </c>
    </row>
  </sheetData>
  <mergeCells count="13">
    <mergeCell ref="A17:A18"/>
    <mergeCell ref="A20:A21"/>
    <mergeCell ref="A22:A29"/>
    <mergeCell ref="E22:F22"/>
    <mergeCell ref="E23:F23"/>
    <mergeCell ref="E24:F24"/>
    <mergeCell ref="E1:F1"/>
    <mergeCell ref="A2:A10"/>
    <mergeCell ref="E2:E9"/>
    <mergeCell ref="I2:I3"/>
    <mergeCell ref="I4:I5"/>
    <mergeCell ref="E10:E13"/>
    <mergeCell ref="A11:A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5" sqref="H15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2905.81</v>
      </c>
      <c r="C2" s="95">
        <v>2852.52</v>
      </c>
      <c r="D2" s="9">
        <f>(B2-C2)/C2</f>
        <v>1.8681727034341553E-2</v>
      </c>
    </row>
    <row r="3" spans="1:4" ht="17.25" x14ac:dyDescent="0.15">
      <c r="A3" s="6" t="s">
        <v>42</v>
      </c>
      <c r="B3" s="6">
        <v>2783.02</v>
      </c>
      <c r="C3" s="95">
        <v>2856.57</v>
      </c>
      <c r="D3" s="9">
        <f t="shared" ref="D3:D10" si="0">(B3-C3)/C3</f>
        <v>-2.5747662406312526E-2</v>
      </c>
    </row>
    <row r="4" spans="1:4" ht="17.25" x14ac:dyDescent="0.15">
      <c r="A4" s="6" t="s">
        <v>43</v>
      </c>
      <c r="B4" s="6">
        <v>1.1135999999999999</v>
      </c>
      <c r="C4" s="95">
        <v>1.1141000000000001</v>
      </c>
      <c r="D4" s="9">
        <f t="shared" si="0"/>
        <v>-4.487927475093501E-4</v>
      </c>
    </row>
    <row r="5" spans="1:4" ht="17.25" x14ac:dyDescent="0.15">
      <c r="A5" s="6" t="s">
        <v>44</v>
      </c>
      <c r="B5" s="6">
        <v>1276.3800000000001</v>
      </c>
      <c r="C5" s="95">
        <v>1275.6099999999999</v>
      </c>
      <c r="D5" s="9">
        <f t="shared" si="0"/>
        <v>6.0363277177210065E-4</v>
      </c>
    </row>
    <row r="6" spans="1:4" ht="17.25" x14ac:dyDescent="0.15">
      <c r="A6" s="6" t="s">
        <v>45</v>
      </c>
      <c r="B6" s="6">
        <v>6.9253</v>
      </c>
      <c r="C6" s="95">
        <v>6.9372999999999996</v>
      </c>
      <c r="D6" s="9">
        <f t="shared" si="0"/>
        <v>-1.729779597249588E-3</v>
      </c>
    </row>
    <row r="7" spans="1:4" ht="17.25" x14ac:dyDescent="0.15">
      <c r="A7" s="6" t="s">
        <v>46</v>
      </c>
      <c r="B7" s="6">
        <v>68.12</v>
      </c>
      <c r="C7" s="95">
        <v>70.38</v>
      </c>
      <c r="D7" s="9">
        <f t="shared" si="0"/>
        <v>-3.2111395282750657E-2</v>
      </c>
    </row>
    <row r="8" spans="1:4" ht="17.25" x14ac:dyDescent="0.15">
      <c r="A8" s="6" t="s">
        <v>47</v>
      </c>
      <c r="B8" s="6">
        <v>8755.9</v>
      </c>
      <c r="C8" s="95">
        <v>7570.1</v>
      </c>
      <c r="D8" s="9">
        <f t="shared" si="0"/>
        <v>0.15664258067925116</v>
      </c>
    </row>
    <row r="9" spans="1:4" ht="17.25" x14ac:dyDescent="0.15">
      <c r="A9" s="6" t="s">
        <v>48</v>
      </c>
      <c r="B9" s="6">
        <v>414</v>
      </c>
      <c r="C9" s="95">
        <v>394.6</v>
      </c>
      <c r="D9" s="9">
        <f t="shared" si="0"/>
        <v>4.9163710086163145E-2</v>
      </c>
    </row>
    <row r="10" spans="1:4" ht="17.25" x14ac:dyDescent="0.15">
      <c r="A10" s="6" t="s">
        <v>49</v>
      </c>
      <c r="B10" s="6">
        <v>1986</v>
      </c>
      <c r="C10" s="95">
        <v>1982</v>
      </c>
      <c r="D10" s="9">
        <f t="shared" si="0"/>
        <v>2.0181634712411706E-3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opLeftCell="A13" workbookViewId="0">
      <selection activeCell="AC22" sqref="AC2:AI26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7" ht="16.5" x14ac:dyDescent="0.15">
      <c r="A1" s="13" t="s">
        <v>166</v>
      </c>
      <c r="B1" s="13">
        <f>INDEX([3]prices!$B:$B, COUNTA([3]prices!$A:$A)+1)</f>
        <v>1910</v>
      </c>
      <c r="D1" s="124">
        <f ca="1">TODAY()</f>
        <v>43615</v>
      </c>
      <c r="E1" s="25"/>
      <c r="F1" s="26" t="s">
        <v>74</v>
      </c>
      <c r="G1" s="26" t="s">
        <v>75</v>
      </c>
      <c r="H1" s="26" t="s">
        <v>76</v>
      </c>
      <c r="I1" s="26" t="s">
        <v>77</v>
      </c>
      <c r="J1" s="26" t="s">
        <v>78</v>
      </c>
      <c r="K1" s="26" t="s">
        <v>79</v>
      </c>
      <c r="M1" s="124">
        <f ca="1">D1</f>
        <v>43615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264</v>
      </c>
    </row>
    <row r="2" spans="1:37" ht="16.5" x14ac:dyDescent="0.3">
      <c r="A2" s="14" t="s">
        <v>61</v>
      </c>
      <c r="B2" s="14">
        <v>2044</v>
      </c>
      <c r="D2" s="124"/>
      <c r="E2" s="27" t="s">
        <v>80</v>
      </c>
      <c r="F2" s="27"/>
      <c r="G2" s="27"/>
      <c r="H2" s="27"/>
      <c r="I2" s="28"/>
      <c r="J2" s="28"/>
      <c r="K2" s="27"/>
      <c r="M2" s="124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20">
        <f ca="1">TODAY()</f>
        <v>43615</v>
      </c>
      <c r="V2" s="120"/>
      <c r="W2" s="120"/>
      <c r="X2" s="120"/>
      <c r="Y2" s="120"/>
      <c r="Z2" s="120"/>
      <c r="AA2" s="120"/>
      <c r="AC2" s="120">
        <f ca="1">TODAY()</f>
        <v>43615</v>
      </c>
      <c r="AD2" s="120"/>
      <c r="AE2" s="120"/>
      <c r="AF2" s="120"/>
      <c r="AG2" s="120"/>
      <c r="AH2" s="120"/>
      <c r="AI2" s="120"/>
    </row>
    <row r="3" spans="1:37" ht="16.5" x14ac:dyDescent="0.15">
      <c r="A3" s="13" t="s">
        <v>62</v>
      </c>
      <c r="B3" s="15">
        <f ca="1">TODAY()</f>
        <v>43615</v>
      </c>
      <c r="D3" s="124"/>
      <c r="E3" s="27" t="s">
        <v>81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24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21" t="s">
        <v>137</v>
      </c>
      <c r="V3" s="64" t="s">
        <v>138</v>
      </c>
      <c r="W3" s="117">
        <f>$B$1</f>
        <v>1910</v>
      </c>
      <c r="X3" s="117"/>
      <c r="Y3" s="63" t="s">
        <v>139</v>
      </c>
      <c r="Z3" s="118">
        <f>W3-INDEX([3]prices!$B:$B,COUNTA([3]prices!$A:$A))</f>
        <v>0</v>
      </c>
      <c r="AA3" s="118"/>
      <c r="AC3" s="121" t="s">
        <v>137</v>
      </c>
      <c r="AD3" s="91" t="s">
        <v>138</v>
      </c>
      <c r="AE3" s="117">
        <f>$B$1</f>
        <v>1910</v>
      </c>
      <c r="AF3" s="117"/>
      <c r="AG3" s="88" t="s">
        <v>82</v>
      </c>
      <c r="AH3" s="118">
        <f>AE3-INDEX([3]prices!$B:$B,COUNTA([3]prices!$A:$A))</f>
        <v>0</v>
      </c>
      <c r="AI3" s="118"/>
    </row>
    <row r="4" spans="1:37" ht="16.5" x14ac:dyDescent="0.15">
      <c r="A4" s="13" t="s">
        <v>63</v>
      </c>
      <c r="B4" s="15">
        <v>43835</v>
      </c>
      <c r="D4" s="124"/>
      <c r="E4" s="27" t="s">
        <v>82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1700</v>
      </c>
      <c r="K4" s="27"/>
      <c r="M4" s="124"/>
      <c r="N4" s="46" t="str">
        <f t="shared" si="2"/>
        <v>较昨日变化</v>
      </c>
      <c r="O4" s="125" t="s">
        <v>133</v>
      </c>
      <c r="P4" s="126"/>
      <c r="Q4" s="126"/>
      <c r="R4" s="126"/>
      <c r="S4" s="127"/>
      <c r="U4" s="121"/>
      <c r="V4" s="64" t="s">
        <v>140</v>
      </c>
      <c r="W4" s="117">
        <f>$B$11</f>
        <v>1910</v>
      </c>
      <c r="X4" s="117"/>
      <c r="Y4" s="63" t="s">
        <v>141</v>
      </c>
      <c r="Z4" s="118">
        <f>W4-INDEX([3]prices!$D:$D,COUNTA([3]prices!$A:$A))</f>
        <v>0</v>
      </c>
      <c r="AA4" s="118"/>
      <c r="AC4" s="121"/>
      <c r="AD4" s="91" t="s">
        <v>140</v>
      </c>
      <c r="AE4" s="117">
        <f>$B$11</f>
        <v>1910</v>
      </c>
      <c r="AF4" s="117"/>
      <c r="AG4" s="88" t="s">
        <v>82</v>
      </c>
      <c r="AH4" s="118">
        <f>AE4-INDEX([3]prices!$D:$D,COUNTA([3]prices!$A:$A))</f>
        <v>0</v>
      </c>
      <c r="AI4" s="118"/>
    </row>
    <row r="5" spans="1:37" ht="16.5" x14ac:dyDescent="0.15">
      <c r="A5" s="14" t="s">
        <v>64</v>
      </c>
      <c r="B5" s="16">
        <v>2069</v>
      </c>
      <c r="D5" s="137" t="s">
        <v>83</v>
      </c>
      <c r="E5" s="29" t="s">
        <v>12</v>
      </c>
      <c r="F5" s="29" t="s">
        <v>84</v>
      </c>
      <c r="G5" s="29"/>
      <c r="H5" s="29" t="s">
        <v>85</v>
      </c>
      <c r="I5" s="29" t="s">
        <v>86</v>
      </c>
      <c r="J5" s="29"/>
      <c r="K5" s="29" t="s">
        <v>87</v>
      </c>
      <c r="M5" s="128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16" t="s">
        <v>142</v>
      </c>
      <c r="V5" s="65" t="s">
        <v>143</v>
      </c>
      <c r="W5" s="117">
        <f>$B$12</f>
        <v>1986</v>
      </c>
      <c r="X5" s="117"/>
      <c r="Y5" s="65" t="s">
        <v>144</v>
      </c>
      <c r="Z5" s="117">
        <f>$B$2</f>
        <v>2044</v>
      </c>
      <c r="AA5" s="117"/>
      <c r="AC5" s="116" t="s">
        <v>123</v>
      </c>
      <c r="AD5" s="87" t="s">
        <v>143</v>
      </c>
      <c r="AE5" s="117">
        <f>$B$12</f>
        <v>1986</v>
      </c>
      <c r="AF5" s="117"/>
      <c r="AG5" s="87" t="s">
        <v>144</v>
      </c>
      <c r="AH5" s="117">
        <f>$B$2</f>
        <v>2044</v>
      </c>
      <c r="AI5" s="117"/>
    </row>
    <row r="6" spans="1:37" ht="16.5" x14ac:dyDescent="0.15">
      <c r="A6" s="13" t="s">
        <v>65</v>
      </c>
      <c r="B6" s="17">
        <f ca="1">(B1+B2*0.2)*0.08*(B4-B3-1)/365</f>
        <v>111.30240000000001</v>
      </c>
      <c r="D6" s="137"/>
      <c r="E6" s="29" t="s">
        <v>88</v>
      </c>
      <c r="F6" s="29">
        <f>LOOKUP(2,1/([3]prices!W:W&lt;&gt;0),[3]prices!W:W)</f>
        <v>1720</v>
      </c>
      <c r="G6" s="29"/>
      <c r="H6" s="29">
        <f>LOOKUP(2,1/([3]prices!X:X&lt;&gt;0),[3]prices!X:X)</f>
        <v>1630</v>
      </c>
      <c r="I6" s="29">
        <f>LOOKUP(2,1/([3]prices!$AB:$AB&lt;&gt;0),[3]prices!$AB:$AB)</f>
        <v>1780</v>
      </c>
      <c r="J6" s="29"/>
      <c r="K6" s="29">
        <f>LOOKUP(2,1/([3]prices!$AK:$AK&lt;&gt;0),[3]prices!$AK:$AK)</f>
        <v>1750</v>
      </c>
      <c r="M6" s="128"/>
      <c r="N6" s="51" t="str">
        <f t="shared" si="3"/>
        <v>锦州港价格</v>
      </c>
      <c r="O6" s="129">
        <f t="shared" si="3"/>
        <v>1910</v>
      </c>
      <c r="P6" s="129"/>
      <c r="Q6" s="129"/>
      <c r="R6" s="129"/>
      <c r="S6" s="129"/>
      <c r="U6" s="116"/>
      <c r="V6" s="63" t="s">
        <v>139</v>
      </c>
      <c r="W6" s="118">
        <f>$B$12-$B$15</f>
        <v>-18</v>
      </c>
      <c r="X6" s="118"/>
      <c r="Y6" s="63" t="s">
        <v>141</v>
      </c>
      <c r="Z6" s="118">
        <f>$B$2-$B$5</f>
        <v>-25</v>
      </c>
      <c r="AA6" s="118"/>
      <c r="AC6" s="116"/>
      <c r="AD6" s="88" t="s">
        <v>82</v>
      </c>
      <c r="AE6" s="118">
        <f>$B$12-$B$15</f>
        <v>-18</v>
      </c>
      <c r="AF6" s="118"/>
      <c r="AG6" s="88" t="s">
        <v>82</v>
      </c>
      <c r="AH6" s="118">
        <f>$B$2-$B$5</f>
        <v>-25</v>
      </c>
      <c r="AI6" s="118"/>
    </row>
    <row r="7" spans="1:37" ht="16.5" x14ac:dyDescent="0.15">
      <c r="A7" s="13" t="s">
        <v>66</v>
      </c>
      <c r="B7" s="18">
        <f ca="1">MIN(B4-B3-5,MAX(20,(B4-B3)/2))</f>
        <v>110</v>
      </c>
      <c r="D7" s="137"/>
      <c r="E7" s="29" t="s">
        <v>89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0</v>
      </c>
      <c r="M7" s="128"/>
      <c r="N7" s="52" t="str">
        <f t="shared" si="3"/>
        <v>较昨日变化</v>
      </c>
      <c r="O7" s="118">
        <f t="shared" si="3"/>
        <v>0</v>
      </c>
      <c r="P7" s="118"/>
      <c r="Q7" s="118"/>
      <c r="R7" s="118"/>
      <c r="S7" s="118"/>
      <c r="U7" s="116"/>
      <c r="V7" s="63" t="s">
        <v>145</v>
      </c>
      <c r="W7" s="119">
        <f ca="1">$B$12-$B$1-$B$20</f>
        <v>-13.051704109589039</v>
      </c>
      <c r="X7" s="119"/>
      <c r="Y7" s="63" t="s">
        <v>145</v>
      </c>
      <c r="Z7" s="122">
        <f ca="1">$B$2-$B$1-$B$10</f>
        <v>-29.502399999999994</v>
      </c>
      <c r="AA7" s="123"/>
      <c r="AC7" s="116"/>
      <c r="AD7" s="88" t="s">
        <v>145</v>
      </c>
      <c r="AE7" s="119">
        <f ca="1">$B$12-$B$1-$B$20</f>
        <v>-13.051704109589039</v>
      </c>
      <c r="AF7" s="119"/>
      <c r="AG7" s="88" t="s">
        <v>145</v>
      </c>
      <c r="AH7" s="119">
        <f ca="1">$B$2-$B$1-$B$10</f>
        <v>-29.502399999999994</v>
      </c>
      <c r="AI7" s="119"/>
      <c r="AJ7" t="s">
        <v>268</v>
      </c>
    </row>
    <row r="8" spans="1:37" ht="16.5" customHeight="1" x14ac:dyDescent="0.15">
      <c r="A8" s="13" t="s">
        <v>67</v>
      </c>
      <c r="B8" s="18">
        <f ca="1">MIN(B4-B3,5)</f>
        <v>5</v>
      </c>
      <c r="D8" s="137"/>
      <c r="E8" s="29" t="s">
        <v>12</v>
      </c>
      <c r="F8" s="29" t="s">
        <v>90</v>
      </c>
      <c r="G8" s="29"/>
      <c r="H8" s="29" t="s">
        <v>91</v>
      </c>
      <c r="I8" s="29" t="s">
        <v>92</v>
      </c>
      <c r="J8" s="29" t="s">
        <v>93</v>
      </c>
      <c r="K8" s="29" t="s">
        <v>94</v>
      </c>
      <c r="M8" s="130">
        <f>D31</f>
        <v>2044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14" t="s">
        <v>83</v>
      </c>
      <c r="V8" s="66" t="s">
        <v>13</v>
      </c>
      <c r="W8" s="66" t="s">
        <v>153</v>
      </c>
      <c r="X8" s="66" t="s">
        <v>154</v>
      </c>
      <c r="Y8" s="66" t="s">
        <v>155</v>
      </c>
      <c r="Z8" s="66" t="s">
        <v>156</v>
      </c>
      <c r="AA8" s="111" t="s">
        <v>261</v>
      </c>
      <c r="AC8" s="105" t="s">
        <v>83</v>
      </c>
      <c r="AD8" s="90" t="s">
        <v>13</v>
      </c>
      <c r="AE8" s="90" t="s">
        <v>153</v>
      </c>
      <c r="AF8" s="90" t="s">
        <v>154</v>
      </c>
      <c r="AG8" s="90" t="s">
        <v>155</v>
      </c>
      <c r="AH8" s="90" t="s">
        <v>156</v>
      </c>
      <c r="AI8" s="111" t="s">
        <v>274</v>
      </c>
      <c r="AJ8" s="93" t="s">
        <v>269</v>
      </c>
      <c r="AK8" t="s">
        <v>282</v>
      </c>
    </row>
    <row r="9" spans="1:37" ht="16.5" x14ac:dyDescent="0.15">
      <c r="A9" s="13" t="s">
        <v>68</v>
      </c>
      <c r="B9" s="17">
        <f>SUM(B22:B26)</f>
        <v>27.2</v>
      </c>
      <c r="D9" s="137"/>
      <c r="E9" s="29" t="s">
        <v>88</v>
      </c>
      <c r="F9" s="29" t="str">
        <f>LOOKUP(2,1/([3]prices!$AH:$AH&lt;&gt;0),[3]prices!$AH:$AH)</f>
        <v>停收</v>
      </c>
      <c r="G9" s="29"/>
      <c r="H9" s="29">
        <f>LOOKUP(2,1/([3]prices!$X:$X&lt;&gt;0),[3]prices!$X:$X)</f>
        <v>1630</v>
      </c>
      <c r="I9" s="29" t="str">
        <f>LOOKUP(2,1/([3]prices!$AE:$AE&lt;&gt;0),[3]prices!$AE:$AE)</f>
        <v>停收</v>
      </c>
      <c r="J9" s="29">
        <f>LOOKUP(2,1/([3]prices!$AW:$AW&lt;&gt;0),[3]prices!$AW:$AW)</f>
        <v>1750</v>
      </c>
      <c r="K9" s="29">
        <f>LOOKUP(2,1/([3]prices!$AT:$AT&lt;&gt;0),[3]prices!$AT:$AT)</f>
        <v>1850</v>
      </c>
      <c r="M9" s="130"/>
      <c r="N9" s="56" t="str">
        <f t="shared" ref="N9:O11" si="4">E32</f>
        <v>期货价格</v>
      </c>
      <c r="O9" s="131">
        <f t="shared" si="4"/>
        <v>2044</v>
      </c>
      <c r="P9" s="131"/>
      <c r="Q9" s="131"/>
      <c r="R9" s="131"/>
      <c r="S9" s="131"/>
      <c r="U9" s="114"/>
      <c r="V9" s="63" t="s">
        <v>146</v>
      </c>
      <c r="W9" s="67">
        <f>INDEX([3]prices!$V:$V, COUNTA([3]prices!$A:$A)+1)</f>
        <v>1610</v>
      </c>
      <c r="X9" s="67">
        <f>INDEX([3]prices!$W:$W, COUNTA([3]prices!$A:$A)+1)</f>
        <v>1720</v>
      </c>
      <c r="Y9" s="67">
        <f>INDEX([3]prices!$AB:$AB, COUNTA([3]prices!$A:$A)+1)</f>
        <v>1780</v>
      </c>
      <c r="Z9" s="67">
        <f>INDEX([3]prices!$AK:$AK, COUNTA([3]prices!$A:$A)+1)</f>
        <v>1750</v>
      </c>
      <c r="AA9" s="112"/>
      <c r="AC9" s="106"/>
      <c r="AD9" s="88" t="s">
        <v>146</v>
      </c>
      <c r="AE9" s="67">
        <f>INDEX([3]prices!$V:$V, COUNTA([3]prices!$A:$A)+1)</f>
        <v>1610</v>
      </c>
      <c r="AF9" s="67">
        <f>INDEX([3]prices!$W:$W, COUNTA([3]prices!$A:$A)+1)</f>
        <v>1720</v>
      </c>
      <c r="AG9" s="67">
        <f>INDEX([3]prices!$AB:$AB, COUNTA([3]prices!$A:$A)+1)</f>
        <v>1780</v>
      </c>
      <c r="AH9" s="67">
        <f>INDEX([3]prices!$AK:$AK, COUNTA([3]prices!$A:$A)+1)</f>
        <v>1750</v>
      </c>
      <c r="AI9" s="112"/>
      <c r="AJ9">
        <v>110</v>
      </c>
      <c r="AK9">
        <v>140</v>
      </c>
    </row>
    <row r="10" spans="1:37" ht="17.25" thickBot="1" x14ac:dyDescent="0.2">
      <c r="A10" s="19" t="s">
        <v>69</v>
      </c>
      <c r="B10" s="20">
        <f ca="1">B6+B9+0.2*B7+0.6*B8</f>
        <v>163.50239999999999</v>
      </c>
      <c r="D10" s="137"/>
      <c r="E10" s="29" t="s">
        <v>89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0</v>
      </c>
      <c r="M10" s="130"/>
      <c r="N10" s="57" t="str">
        <f t="shared" si="4"/>
        <v>较昨日变化</v>
      </c>
      <c r="O10" s="118">
        <f t="shared" si="4"/>
        <v>0</v>
      </c>
      <c r="P10" s="118"/>
      <c r="Q10" s="118"/>
      <c r="R10" s="118"/>
      <c r="S10" s="118"/>
      <c r="U10" s="114"/>
      <c r="V10" s="63" t="s">
        <v>89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0</v>
      </c>
      <c r="AA10" s="112"/>
      <c r="AC10" s="107"/>
      <c r="AD10" s="88" t="s">
        <v>89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0</v>
      </c>
      <c r="AI10" s="112"/>
      <c r="AJ10" t="s">
        <v>270</v>
      </c>
    </row>
    <row r="11" spans="1:37" ht="17.25" thickTop="1" x14ac:dyDescent="0.15">
      <c r="A11" s="21" t="s">
        <v>167</v>
      </c>
      <c r="B11" s="22">
        <f>INDEX([3]prices!$D:$D, COUNTA([3]prices!$A:$A)+1)</f>
        <v>1910</v>
      </c>
      <c r="D11" s="121" t="s">
        <v>95</v>
      </c>
      <c r="E11" s="27" t="s">
        <v>96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30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14"/>
      <c r="V11" s="66" t="s">
        <v>13</v>
      </c>
      <c r="W11" s="66" t="s">
        <v>157</v>
      </c>
      <c r="X11" s="66" t="s">
        <v>158</v>
      </c>
      <c r="Y11" s="66" t="s">
        <v>159</v>
      </c>
      <c r="Z11" s="66" t="s">
        <v>160</v>
      </c>
      <c r="AA11" s="112"/>
      <c r="AC11" s="108" t="s">
        <v>265</v>
      </c>
      <c r="AD11" s="92" t="s">
        <v>266</v>
      </c>
      <c r="AE11" s="92" t="s">
        <v>278</v>
      </c>
      <c r="AF11" s="92" t="s">
        <v>267</v>
      </c>
      <c r="AG11" s="92" t="s">
        <v>280</v>
      </c>
      <c r="AH11" s="92" t="s">
        <v>283</v>
      </c>
      <c r="AI11" s="112"/>
      <c r="AJ11">
        <v>140</v>
      </c>
    </row>
    <row r="12" spans="1:37" ht="16.5" x14ac:dyDescent="0.15">
      <c r="A12" s="23" t="s">
        <v>70</v>
      </c>
      <c r="B12" s="23">
        <v>1986</v>
      </c>
      <c r="D12" s="121"/>
      <c r="E12" s="27" t="s">
        <v>97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32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11" t="s">
        <v>134</v>
      </c>
      <c r="U12" s="114"/>
      <c r="V12" s="63" t="s">
        <v>146</v>
      </c>
      <c r="W12" s="67">
        <f>INDEX([3]prices!$X:$X, COUNTA([3]prices!$A:$A)+1)</f>
        <v>1630</v>
      </c>
      <c r="X12" s="67">
        <f>INDEX([3]prices!$AE:$AE, COUNTA([3]prices!$A:$A)+1)</f>
        <v>0</v>
      </c>
      <c r="Y12" s="67">
        <f>INDEX([3]prices!$AT:$AT, COUNTA([3]prices!$A:$A)+1)</f>
        <v>1850</v>
      </c>
      <c r="Z12" s="67">
        <f>INDEX([3]prices!$AW:$AW, COUNTA([3]prices!$A:$A)+1)</f>
        <v>1750</v>
      </c>
      <c r="AA12" s="112"/>
      <c r="AC12" s="109"/>
      <c r="AD12" s="88" t="s">
        <v>273</v>
      </c>
      <c r="AE12" s="67">
        <v>1650</v>
      </c>
      <c r="AF12" s="67">
        <v>1750</v>
      </c>
      <c r="AG12" s="67">
        <v>1730</v>
      </c>
      <c r="AH12" s="67">
        <v>1640</v>
      </c>
      <c r="AI12" s="112"/>
      <c r="AJ12" t="s">
        <v>271</v>
      </c>
    </row>
    <row r="13" spans="1:37" ht="16.5" x14ac:dyDescent="0.15">
      <c r="A13" t="s">
        <v>71</v>
      </c>
      <c r="B13" s="24">
        <f ca="1">TODAY()</f>
        <v>43615</v>
      </c>
      <c r="D13" s="121"/>
      <c r="E13" s="27" t="s">
        <v>98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32"/>
      <c r="N13" s="51" t="str">
        <f t="shared" si="5"/>
        <v>干粮价</v>
      </c>
      <c r="O13" s="51">
        <f t="shared" si="5"/>
        <v>1720</v>
      </c>
      <c r="P13" s="51">
        <f t="shared" si="6"/>
        <v>1630</v>
      </c>
      <c r="Q13" s="51">
        <f t="shared" si="6"/>
        <v>1780</v>
      </c>
      <c r="R13" s="51">
        <f>K6</f>
        <v>1750</v>
      </c>
      <c r="S13" s="112"/>
      <c r="U13" s="114"/>
      <c r="V13" s="63" t="s">
        <v>89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0</v>
      </c>
      <c r="Z13" s="62">
        <f>INDEX([3]prices!$AW:$AW, COUNTA([3]prices!$A:$A)+1) - INDEX([3]prices!$AW:$AW, COUNTA([3]prices!$A:$A))</f>
        <v>0</v>
      </c>
      <c r="AA13" s="113"/>
      <c r="AC13" s="110"/>
      <c r="AD13" s="88" t="s">
        <v>95</v>
      </c>
      <c r="AE13" s="67">
        <f>AE12+125+AJ19</f>
        <v>1925</v>
      </c>
      <c r="AF13" s="67">
        <f>AF12+105+AJ15</f>
        <v>1965</v>
      </c>
      <c r="AG13" s="67">
        <f>AG12+125+AJ21</f>
        <v>1949</v>
      </c>
      <c r="AH13" s="67">
        <f>AH12+125+AK9</f>
        <v>1905</v>
      </c>
      <c r="AI13" s="113"/>
      <c r="AJ13">
        <v>110</v>
      </c>
    </row>
    <row r="14" spans="1:37" ht="16.5" x14ac:dyDescent="0.15">
      <c r="A14" t="s">
        <v>72</v>
      </c>
      <c r="B14" s="24">
        <v>43713</v>
      </c>
      <c r="D14" s="121"/>
      <c r="E14" s="31" t="s">
        <v>99</v>
      </c>
      <c r="F14" s="32">
        <f t="shared" ref="F14:K14" si="7">F3+F11+F12+F13</f>
        <v>1887</v>
      </c>
      <c r="G14" s="32" t="e">
        <f t="shared" si="7"/>
        <v>#N/A</v>
      </c>
      <c r="H14" s="32">
        <f t="shared" si="7"/>
        <v>1944</v>
      </c>
      <c r="I14" s="32">
        <f t="shared" si="7"/>
        <v>2018</v>
      </c>
      <c r="J14" s="32">
        <f t="shared" si="7"/>
        <v>1924.4</v>
      </c>
      <c r="K14" s="32">
        <f t="shared" si="7"/>
        <v>1999.4</v>
      </c>
      <c r="M14" s="132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0</v>
      </c>
      <c r="S14" s="112"/>
      <c r="U14" s="114" t="s">
        <v>147</v>
      </c>
      <c r="V14" s="66" t="s">
        <v>13</v>
      </c>
      <c r="W14" s="66" t="s">
        <v>161</v>
      </c>
      <c r="X14" s="66" t="s">
        <v>162</v>
      </c>
      <c r="Y14" s="66" t="s">
        <v>163</v>
      </c>
      <c r="Z14" s="66" t="s">
        <v>164</v>
      </c>
      <c r="AA14" s="66" t="s">
        <v>165</v>
      </c>
      <c r="AC14" s="114" t="s">
        <v>101</v>
      </c>
      <c r="AD14" s="90" t="s">
        <v>13</v>
      </c>
      <c r="AE14" s="90" t="s">
        <v>161</v>
      </c>
      <c r="AF14" s="90" t="s">
        <v>162</v>
      </c>
      <c r="AG14" s="90" t="s">
        <v>163</v>
      </c>
      <c r="AH14" s="90" t="s">
        <v>164</v>
      </c>
      <c r="AI14" s="90" t="s">
        <v>165</v>
      </c>
      <c r="AJ14" s="94" t="s">
        <v>272</v>
      </c>
    </row>
    <row r="15" spans="1:37" ht="16.5" x14ac:dyDescent="0.15">
      <c r="A15" s="23" t="s">
        <v>73</v>
      </c>
      <c r="B15" s="23">
        <v>2004</v>
      </c>
      <c r="D15" s="121"/>
      <c r="E15" s="33" t="s">
        <v>100</v>
      </c>
      <c r="F15" s="138">
        <f>INDEX([3]prices!$B:$B, COUNTA([3]prices!$A:$A)+1)</f>
        <v>1910</v>
      </c>
      <c r="G15" s="139"/>
      <c r="H15" s="139"/>
      <c r="I15" s="139"/>
      <c r="J15" s="139"/>
      <c r="K15" s="140"/>
      <c r="M15" s="132"/>
      <c r="N15" s="60" t="str">
        <f>E8</f>
        <v>企业</v>
      </c>
      <c r="O15" s="60" t="str">
        <f t="shared" ref="O15:P17" si="8">H8</f>
        <v>中粮肇东</v>
      </c>
      <c r="P15" s="60" t="str">
        <f t="shared" si="8"/>
        <v>北安象屿</v>
      </c>
      <c r="Q15" s="60" t="str">
        <f>K8</f>
        <v>开原益海</v>
      </c>
      <c r="R15" s="60" t="str">
        <f>J8</f>
        <v>通辽梅花</v>
      </c>
      <c r="S15" s="112"/>
      <c r="U15" s="114"/>
      <c r="V15" s="63" t="s">
        <v>148</v>
      </c>
      <c r="W15" s="67">
        <f>INDEX([3]prices!$AY:$AY, COUNTA([3]prices!$A:$A)+1)</f>
        <v>1960</v>
      </c>
      <c r="X15" s="67">
        <f>INDEX([3]prices!$BC:$BC, COUNTA([3]prices!$A:$A)+1)</f>
        <v>2070</v>
      </c>
      <c r="Y15" s="67">
        <f>INDEX([3]prices!$BA:$BA, COUNTA([3]prices!$A:$A)+1)</f>
        <v>2060</v>
      </c>
      <c r="Z15" s="67">
        <f>INDEX([3]prices!$BE:$BE, COUNTA([3]prices!$A:$A)+1)</f>
        <v>2080</v>
      </c>
      <c r="AA15" s="67">
        <f>INDEX([3]prices!$BD:$BD, COUNTA([3]prices!$A:$A)+1)</f>
        <v>2130</v>
      </c>
      <c r="AC15" s="114"/>
      <c r="AD15" s="88" t="s">
        <v>148</v>
      </c>
      <c r="AE15" s="67">
        <f>INDEX([3]prices!$AY:$AY, COUNTA([3]prices!$A:$A)+1)</f>
        <v>1960</v>
      </c>
      <c r="AF15" s="67">
        <f>INDEX([3]prices!$BC:$BC, COUNTA([3]prices!$A:$A)+1)</f>
        <v>2070</v>
      </c>
      <c r="AG15" s="67">
        <f>INDEX([3]prices!$BA:$BA, COUNTA([3]prices!$A:$A)+1)</f>
        <v>2060</v>
      </c>
      <c r="AH15" s="67">
        <f>INDEX([3]prices!$BE:$BE, COUNTA([3]prices!$A:$A)+1)</f>
        <v>2080</v>
      </c>
      <c r="AI15" s="67">
        <f>INDEX([3]prices!$BD:$BD, COUNTA([3]prices!$A:$A)+1)</f>
        <v>2130</v>
      </c>
      <c r="AJ15">
        <v>110</v>
      </c>
    </row>
    <row r="16" spans="1:37" ht="16.5" x14ac:dyDescent="0.15">
      <c r="A16" s="13" t="s">
        <v>65</v>
      </c>
      <c r="B16" s="17">
        <f ca="1">(B11+B12*0.2)*0.08*(B14-B13-1)/365</f>
        <v>49.051704109589039</v>
      </c>
      <c r="D16" s="121"/>
      <c r="E16" s="33" t="s">
        <v>89</v>
      </c>
      <c r="F16" s="138">
        <f>F15-INDEX([3]prices!$B:$B, COUNTA([3]prices!$A:$A))</f>
        <v>0</v>
      </c>
      <c r="G16" s="139"/>
      <c r="H16" s="139"/>
      <c r="I16" s="139"/>
      <c r="J16" s="139"/>
      <c r="K16" s="140"/>
      <c r="M16" s="132"/>
      <c r="N16" s="51" t="str">
        <f>E9</f>
        <v>干粮价</v>
      </c>
      <c r="O16" s="51">
        <f t="shared" si="8"/>
        <v>1630</v>
      </c>
      <c r="P16" s="51" t="str">
        <f t="shared" si="8"/>
        <v>停收</v>
      </c>
      <c r="Q16" s="51">
        <f>K9</f>
        <v>1850</v>
      </c>
      <c r="R16" s="51">
        <f>J9</f>
        <v>1750</v>
      </c>
      <c r="S16" s="112"/>
      <c r="U16" s="114"/>
      <c r="V16" s="63" t="s">
        <v>89</v>
      </c>
      <c r="W16" s="62">
        <f>INDEX([3]prices!$AY:$AY, COUNTA([3]prices!$A:$A)+1) - INDEX([3]prices!$AY:$AY, COUNTA([3]prices!$A:$A))</f>
        <v>0</v>
      </c>
      <c r="X16" s="62">
        <f>INDEX([3]prices!$BC:$BC, COUNTA([3]prices!$A:$A)+1) - INDEX([3]prices!$BC:$BC, COUNTA([3]prices!$A:$A))</f>
        <v>0</v>
      </c>
      <c r="Y16" s="62">
        <f>INDEX([3]prices!$BA:$BA, COUNTA([3]prices!$A:$A)+1) - INDEX([3]prices!$BA:$BA, COUNTA([3]prices!$A:$A))</f>
        <v>0</v>
      </c>
      <c r="Z16" s="62">
        <f>INDEX([3]prices!$BE:$BE, COUNTA([3]prices!$A:$A)+1) - INDEX([3]prices!$BE:$BE, COUNTA([3]prices!$A:$A))</f>
        <v>0</v>
      </c>
      <c r="AA16" s="62">
        <f>INDEX([3]prices!$BD:$BD, COUNTA([3]prices!$A:$A)+1) - INDEX([3]prices!$BD:$BD, COUNTA([3]prices!$A:$A))</f>
        <v>0</v>
      </c>
      <c r="AC16" s="114"/>
      <c r="AD16" s="88" t="s">
        <v>89</v>
      </c>
      <c r="AE16" s="89">
        <f>INDEX([3]prices!$AY:$AY, COUNTA([3]prices!$A:$A)+1) - INDEX([3]prices!$AY:$AY, COUNTA([3]prices!$A:$A))</f>
        <v>0</v>
      </c>
      <c r="AF16" s="89">
        <f>INDEX([3]prices!$BC:$BC, COUNTA([3]prices!$A:$A)+1) - INDEX([3]prices!$BC:$BC, COUNTA([3]prices!$A:$A))</f>
        <v>0</v>
      </c>
      <c r="AG16" s="89">
        <f>INDEX([3]prices!$BA:$BA, COUNTA([3]prices!$A:$A)+1) - INDEX([3]prices!$BA:$BA, COUNTA([3]prices!$A:$A))</f>
        <v>0</v>
      </c>
      <c r="AH16" s="89">
        <f>INDEX([3]prices!$BE:$BE, COUNTA([3]prices!$A:$A)+1) - INDEX([3]prices!$BE:$BE, COUNTA([3]prices!$A:$A))</f>
        <v>0</v>
      </c>
      <c r="AI16" s="89">
        <f>INDEX([3]prices!$BD:$BD, COUNTA([3]prices!$A:$A)+1) - INDEX([3]prices!$BD:$BD, COUNTA([3]prices!$A:$A))</f>
        <v>0</v>
      </c>
      <c r="AJ16" t="s">
        <v>275</v>
      </c>
    </row>
    <row r="17" spans="1:36" ht="16.5" customHeight="1" x14ac:dyDescent="0.15">
      <c r="A17" t="s">
        <v>66</v>
      </c>
      <c r="B17">
        <f ca="1">MIN(B14-B13-5,MAX(20,(B14-B13)/2))</f>
        <v>49</v>
      </c>
      <c r="D17" s="133" t="s">
        <v>101</v>
      </c>
      <c r="E17" s="29" t="s">
        <v>102</v>
      </c>
      <c r="F17" s="29" t="s">
        <v>103</v>
      </c>
      <c r="G17" s="29"/>
      <c r="H17" s="29" t="s">
        <v>104</v>
      </c>
      <c r="I17" s="29" t="s">
        <v>105</v>
      </c>
      <c r="J17" s="29" t="s">
        <v>106</v>
      </c>
      <c r="K17" s="29" t="s">
        <v>107</v>
      </c>
      <c r="M17" s="132"/>
      <c r="N17" s="52" t="str">
        <f>E10</f>
        <v>较昨日变化</v>
      </c>
      <c r="O17" s="62">
        <f t="shared" si="8"/>
        <v>0</v>
      </c>
      <c r="P17" s="62">
        <f t="shared" si="8"/>
        <v>0</v>
      </c>
      <c r="Q17" s="62">
        <f>K10</f>
        <v>0</v>
      </c>
      <c r="R17" s="62">
        <f>J10</f>
        <v>0</v>
      </c>
      <c r="S17" s="113"/>
      <c r="U17" s="102" t="s">
        <v>149</v>
      </c>
      <c r="V17" s="25" t="s">
        <v>150</v>
      </c>
      <c r="W17" s="25" t="s">
        <v>127</v>
      </c>
      <c r="X17" s="25" t="s">
        <v>128</v>
      </c>
      <c r="Y17" s="25" t="s">
        <v>129</v>
      </c>
      <c r="Z17" s="25" t="s">
        <v>130</v>
      </c>
      <c r="AA17" s="115" t="s">
        <v>262</v>
      </c>
      <c r="AC17" s="102" t="s">
        <v>149</v>
      </c>
      <c r="AD17" s="86" t="s">
        <v>150</v>
      </c>
      <c r="AE17" s="86" t="s">
        <v>127</v>
      </c>
      <c r="AF17" s="86" t="s">
        <v>128</v>
      </c>
      <c r="AG17" s="86" t="s">
        <v>129</v>
      </c>
      <c r="AH17" s="86" t="s">
        <v>130</v>
      </c>
      <c r="AI17" s="115" t="s">
        <v>284</v>
      </c>
      <c r="AJ17">
        <v>150</v>
      </c>
    </row>
    <row r="18" spans="1:36" ht="16.5" x14ac:dyDescent="0.15">
      <c r="A18" t="s">
        <v>67</v>
      </c>
      <c r="B18">
        <f ca="1">MIN(B14-B13,5)</f>
        <v>5</v>
      </c>
      <c r="D18" s="133"/>
      <c r="E18" s="29" t="s">
        <v>108</v>
      </c>
      <c r="F18" s="29">
        <f>LOOKUP(2,1/([3]prices!$AY:$AY&lt;&gt;0),[3]prices!$AY:$AY)</f>
        <v>1960</v>
      </c>
      <c r="G18" s="29"/>
      <c r="H18" s="29">
        <f>LOOKUP(2,1/([3]prices!$BC:$BC&lt;&gt;0),[3]prices!$BC:$BC)</f>
        <v>2070</v>
      </c>
      <c r="I18" s="29">
        <f>LOOKUP(2,1/([3]prices!$BA:$BA&lt;&gt;0),[3]prices!$BA:$BA)</f>
        <v>2060</v>
      </c>
      <c r="J18" s="29">
        <f>LOOKUP(2,1/([3]prices!$BD:$BD&lt;&gt;0),[3]prices!$BD:$BD)</f>
        <v>2130</v>
      </c>
      <c r="K18" s="29">
        <f>LOOKUP(2,1/([3]prices!$BE:$BE&lt;&gt;0),[3]prices!$BE:$BE)</f>
        <v>2080</v>
      </c>
      <c r="M18" s="133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2"/>
      <c r="V18" s="63" t="s">
        <v>151</v>
      </c>
      <c r="W18" s="67">
        <f>INDEX([3]prices!$P:$P, COUNTA([3]prices!$A:$A)+1)</f>
        <v>53</v>
      </c>
      <c r="X18" s="67">
        <f>INDEX([3]prices!$Q:$Q, COUNTA([3]prices!$A:$A)+1)</f>
        <v>61</v>
      </c>
      <c r="Y18" s="67">
        <f>INDEX([3]prices!$R:$R, COUNTA([3]prices!$A:$A)+1)</f>
        <v>51</v>
      </c>
      <c r="Z18" s="67">
        <f>INDEX([3]prices!$S:$S, COUNTA([3]prices!$A:$A)+1)</f>
        <v>45</v>
      </c>
      <c r="AA18" s="115"/>
      <c r="AC18" s="102"/>
      <c r="AD18" s="88" t="s">
        <v>151</v>
      </c>
      <c r="AE18" s="67">
        <f>INDEX([3]prices!$P:$P, COUNTA([3]prices!$A:$A)+1)</f>
        <v>53</v>
      </c>
      <c r="AF18" s="67">
        <f>INDEX([3]prices!$Q:$Q, COUNTA([3]prices!$A:$A)+1)</f>
        <v>61</v>
      </c>
      <c r="AG18" s="67">
        <f>INDEX([3]prices!$R:$R, COUNTA([3]prices!$A:$A)+1)</f>
        <v>51</v>
      </c>
      <c r="AH18" s="67">
        <f>INDEX([3]prices!$S:$S, COUNTA([3]prices!$A:$A)+1)</f>
        <v>45</v>
      </c>
      <c r="AI18" s="115"/>
      <c r="AJ18" t="s">
        <v>279</v>
      </c>
    </row>
    <row r="19" spans="1:36" ht="16.5" x14ac:dyDescent="0.15">
      <c r="A19" t="s">
        <v>68</v>
      </c>
      <c r="B19" s="17">
        <f>SUM(B22:B26)</f>
        <v>27.2</v>
      </c>
      <c r="D19" s="133"/>
      <c r="E19" s="29" t="s">
        <v>89</v>
      </c>
      <c r="F19" s="29">
        <f>F18-INDEX([3]prices!$AY:$AY, COUNTA([3]prices!$A:$A))</f>
        <v>0</v>
      </c>
      <c r="G19" s="29"/>
      <c r="H19" s="29">
        <f>H18-INDEX([3]prices!$BC:$BC, COUNTA([3]prices!$A:$A))</f>
        <v>0</v>
      </c>
      <c r="I19" s="29">
        <f>I18-INDEX([3]prices!$BA:$BA, COUNTA([3]prices!$A:$A))</f>
        <v>0</v>
      </c>
      <c r="J19" s="29">
        <f>J18-INDEX([3]prices!$BD:$BD, COUNTA([3]prices!$A:$A))</f>
        <v>0</v>
      </c>
      <c r="K19" s="29">
        <f>K18-INDEX([3]prices!$BE:$BE, COUNTA([3]prices!$A:$A))</f>
        <v>0</v>
      </c>
      <c r="M19" s="133"/>
      <c r="N19" s="63" t="str">
        <f>E18</f>
        <v>价格</v>
      </c>
      <c r="O19" s="63">
        <f>F18</f>
        <v>1960</v>
      </c>
      <c r="P19" s="63">
        <f t="shared" ref="P19:Q20" si="9">H18</f>
        <v>2070</v>
      </c>
      <c r="Q19" s="63">
        <f t="shared" si="9"/>
        <v>2060</v>
      </c>
      <c r="R19" s="63">
        <f>K18</f>
        <v>2080</v>
      </c>
      <c r="S19" s="63">
        <f>J18</f>
        <v>2130</v>
      </c>
      <c r="U19" s="102"/>
      <c r="V19" s="63" t="s">
        <v>148</v>
      </c>
      <c r="W19" s="67">
        <f>INDEX([3]prices!$H:$H, COUNTA([3]prices!$A:$A)+1)</f>
        <v>2010</v>
      </c>
      <c r="X19" s="67">
        <f>INDEX([3]prices!$L:$L, COUNTA([3]prices!$A:$A)+1)</f>
        <v>2030</v>
      </c>
      <c r="Y19" s="67">
        <f>INDEX([3]prices!$J:$J, COUNTA([3]prices!$A:$A)+1)</f>
        <v>2040</v>
      </c>
      <c r="Z19" s="67">
        <f>INDEX([3]prices!$N:$N, COUNTA([3]prices!$A:$A)+1)</f>
        <v>2040</v>
      </c>
      <c r="AA19" s="115"/>
      <c r="AC19" s="102"/>
      <c r="AD19" s="88" t="s">
        <v>148</v>
      </c>
      <c r="AE19" s="67">
        <f>INDEX([3]prices!$H:$H, COUNTA([3]prices!$A:$A)+1)</f>
        <v>2010</v>
      </c>
      <c r="AF19" s="67">
        <f>INDEX([3]prices!$L:$L, COUNTA([3]prices!$A:$A)+1)</f>
        <v>2030</v>
      </c>
      <c r="AG19" s="67">
        <f>INDEX([3]prices!$J:$J, COUNTA([3]prices!$A:$A)+1)</f>
        <v>2040</v>
      </c>
      <c r="AH19" s="67">
        <f>INDEX([3]prices!$N:$N, COUNTA([3]prices!$A:$A)+1)</f>
        <v>2040</v>
      </c>
      <c r="AI19" s="115"/>
      <c r="AJ19">
        <v>150</v>
      </c>
    </row>
    <row r="20" spans="1:36" ht="16.5" x14ac:dyDescent="0.15">
      <c r="A20" t="s">
        <v>69</v>
      </c>
      <c r="B20" s="17">
        <f ca="1">B16+B19+0.2*B17+0.6*B18</f>
        <v>89.051704109589039</v>
      </c>
      <c r="D20" s="103" t="s">
        <v>109</v>
      </c>
      <c r="E20" s="27" t="s">
        <v>110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33"/>
      <c r="N20" s="57" t="str">
        <f>E19</f>
        <v>较昨日变化</v>
      </c>
      <c r="O20" s="62">
        <f>F19</f>
        <v>0</v>
      </c>
      <c r="P20" s="62">
        <f t="shared" si="9"/>
        <v>0</v>
      </c>
      <c r="Q20" s="62">
        <f t="shared" si="9"/>
        <v>0</v>
      </c>
      <c r="R20" s="62">
        <f>K19</f>
        <v>0</v>
      </c>
      <c r="S20" s="62">
        <f>J19</f>
        <v>0</v>
      </c>
      <c r="U20" s="102"/>
      <c r="V20" s="63" t="s">
        <v>89</v>
      </c>
      <c r="W20" s="62">
        <f>INDEX([3]prices!$H:$H, COUNTA([3]prices!$A:$A)+1) - INDEX([3]prices!$H:$H, COUNTA([3]prices!$A:$A))</f>
        <v>0</v>
      </c>
      <c r="X20" s="62">
        <f>INDEX([3]prices!$L:$L, COUNTA([3]prices!$A:$A)+1) - INDEX([3]prices!$L:$L, COUNTA([3]prices!$A:$A))</f>
        <v>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0</v>
      </c>
      <c r="AA20" s="115"/>
      <c r="AC20" s="102"/>
      <c r="AD20" s="88" t="s">
        <v>89</v>
      </c>
      <c r="AE20" s="89">
        <f>INDEX([3]prices!$H:$H, COUNTA([3]prices!$A:$A)+1) - INDEX([3]prices!$H:$H, COUNTA([3]prices!$A:$A))</f>
        <v>0</v>
      </c>
      <c r="AF20" s="89">
        <f>INDEX([3]prices!$L:$L, COUNTA([3]prices!$A:$A)+1) - INDEX([3]prices!$L:$L, COUNTA([3]prices!$A:$A))</f>
        <v>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0</v>
      </c>
      <c r="AI20" s="115"/>
      <c r="AJ20" t="s">
        <v>281</v>
      </c>
    </row>
    <row r="21" spans="1:36" ht="16.5" x14ac:dyDescent="0.15">
      <c r="D21" s="103"/>
      <c r="E21" s="27" t="s">
        <v>111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34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0">H35</f>
        <v>钦州</v>
      </c>
      <c r="Q21" s="37" t="str">
        <f t="shared" si="10"/>
        <v>漳州</v>
      </c>
      <c r="R21" s="37" t="str">
        <f t="shared" si="10"/>
        <v>南通</v>
      </c>
      <c r="S21" s="135" t="s">
        <v>135</v>
      </c>
      <c r="U21" s="102"/>
      <c r="V21" s="63" t="s">
        <v>152</v>
      </c>
      <c r="W21" s="68">
        <f>INDEX([3]prices!$I:$I, COUNTA([3]prices!$A:$A)+1)</f>
        <v>-43</v>
      </c>
      <c r="X21" s="68">
        <f>INDEX([3]prices!$M:$M, COUNTA([3]prices!$A:$A)+1)</f>
        <v>-31</v>
      </c>
      <c r="Y21" s="68">
        <f>INDEX([3]prices!$K:$K, COUNTA([3]prices!$A:$A)+1)</f>
        <v>-11</v>
      </c>
      <c r="Z21" s="68">
        <f>INDEX([3]prices!$O:$O, COUNTA([3]prices!$A:$A)+1)</f>
        <v>-5</v>
      </c>
      <c r="AA21" s="115"/>
      <c r="AC21" s="102"/>
      <c r="AD21" s="88" t="s">
        <v>152</v>
      </c>
      <c r="AE21" s="68">
        <f>INDEX([3]prices!$I:$I, COUNTA([3]prices!$A:$A)+1)</f>
        <v>-43</v>
      </c>
      <c r="AF21" s="68">
        <f>INDEX([3]prices!$M:$M, COUNTA([3]prices!$A:$A)+1)</f>
        <v>-31</v>
      </c>
      <c r="AG21" s="68">
        <f>INDEX([3]prices!$K:$K, COUNTA([3]prices!$A:$A)+1)</f>
        <v>-11</v>
      </c>
      <c r="AH21" s="68">
        <f>INDEX([3]prices!$O:$O, COUNTA([3]prices!$A:$A)+1)</f>
        <v>-5</v>
      </c>
      <c r="AI21" s="115"/>
      <c r="AJ21">
        <v>94</v>
      </c>
    </row>
    <row r="22" spans="1:36" ht="16.5" customHeight="1" x14ac:dyDescent="0.15">
      <c r="A22" s="42" t="s">
        <v>168</v>
      </c>
      <c r="B22" s="42">
        <v>20</v>
      </c>
      <c r="D22" s="103"/>
      <c r="E22" s="27" t="s">
        <v>112</v>
      </c>
      <c r="F22" s="34">
        <f ca="1">F3*0.1*($B$4-$B$3)/365</f>
        <v>99.452054794520549</v>
      </c>
      <c r="G22" s="34" t="e">
        <f t="shared" ref="G22:K22" ca="1" si="11">G3*0.1*($B$4-$B$3)/365</f>
        <v>#N/A</v>
      </c>
      <c r="H22" s="34">
        <f t="shared" ca="1" si="11"/>
        <v>111.08493150684932</v>
      </c>
      <c r="I22" s="34">
        <f t="shared" ca="1" si="11"/>
        <v>107.89041095890411</v>
      </c>
      <c r="J22" s="34">
        <f t="shared" ca="1" si="11"/>
        <v>105.17808219178082</v>
      </c>
      <c r="K22" s="34">
        <f t="shared" ca="1" si="11"/>
        <v>110.18082191780822</v>
      </c>
      <c r="M22" s="134"/>
      <c r="N22" s="63" t="str">
        <f t="shared" ref="N22:O25" si="12">E36</f>
        <v>散船运费</v>
      </c>
      <c r="O22" s="63">
        <f t="shared" si="12"/>
        <v>53</v>
      </c>
      <c r="P22" s="63">
        <f t="shared" si="10"/>
        <v>61</v>
      </c>
      <c r="Q22" s="63">
        <f t="shared" si="10"/>
        <v>51</v>
      </c>
      <c r="R22" s="63">
        <f t="shared" si="10"/>
        <v>45</v>
      </c>
      <c r="S22" s="135"/>
      <c r="U22" s="104" t="s">
        <v>263</v>
      </c>
      <c r="V22" s="104"/>
      <c r="W22" s="104"/>
      <c r="X22" s="104"/>
      <c r="Y22" s="104"/>
      <c r="Z22" s="104"/>
      <c r="AA22" s="104"/>
      <c r="AC22" s="104" t="s">
        <v>285</v>
      </c>
      <c r="AD22" s="104"/>
      <c r="AE22" s="104"/>
      <c r="AF22" s="104"/>
      <c r="AG22" s="104"/>
      <c r="AH22" s="104"/>
      <c r="AI22" s="104"/>
    </row>
    <row r="23" spans="1:36" ht="16.5" x14ac:dyDescent="0.15">
      <c r="A23" s="42" t="s">
        <v>117</v>
      </c>
      <c r="B23" s="42">
        <v>5</v>
      </c>
      <c r="D23" s="103"/>
      <c r="E23" s="27" t="s">
        <v>113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3">$E$32*0.2*0.1*($B$4-$B$3)/365</f>
        <v>#VALUE!</v>
      </c>
      <c r="I23" s="34" t="e">
        <f t="shared" ca="1" si="13"/>
        <v>#VALUE!</v>
      </c>
      <c r="J23" s="34" t="e">
        <f t="shared" ca="1" si="13"/>
        <v>#VALUE!</v>
      </c>
      <c r="K23" s="34" t="e">
        <f t="shared" ca="1" si="13"/>
        <v>#VALUE!</v>
      </c>
      <c r="M23" s="134"/>
      <c r="N23" s="63" t="str">
        <f t="shared" si="12"/>
        <v>价格</v>
      </c>
      <c r="O23" s="63">
        <f t="shared" si="12"/>
        <v>2010</v>
      </c>
      <c r="P23" s="63">
        <f t="shared" si="10"/>
        <v>2030</v>
      </c>
      <c r="Q23" s="63">
        <f t="shared" si="10"/>
        <v>2040</v>
      </c>
      <c r="R23" s="63">
        <f t="shared" si="10"/>
        <v>2040</v>
      </c>
      <c r="S23" s="135"/>
      <c r="U23" s="104"/>
      <c r="V23" s="104"/>
      <c r="W23" s="104"/>
      <c r="X23" s="104"/>
      <c r="Y23" s="104"/>
      <c r="Z23" s="104"/>
      <c r="AA23" s="104"/>
      <c r="AC23" s="104"/>
      <c r="AD23" s="104"/>
      <c r="AE23" s="104"/>
      <c r="AF23" s="104"/>
      <c r="AG23" s="104"/>
      <c r="AH23" s="104"/>
      <c r="AI23" s="104"/>
    </row>
    <row r="24" spans="1:36" ht="16.5" customHeight="1" x14ac:dyDescent="0.15">
      <c r="A24" s="42" t="s">
        <v>118</v>
      </c>
      <c r="B24" s="42">
        <v>1</v>
      </c>
      <c r="D24" s="103"/>
      <c r="E24" s="27" t="s">
        <v>114</v>
      </c>
      <c r="F24" s="34" t="e">
        <f t="shared" ref="F24:K24" ca="1" si="14">SUM(F20:F23)</f>
        <v>#VALUE!</v>
      </c>
      <c r="G24" s="34" t="e">
        <f t="shared" ca="1" si="14"/>
        <v>#N/A</v>
      </c>
      <c r="H24" s="34" t="e">
        <f t="shared" ca="1" si="14"/>
        <v>#VALUE!</v>
      </c>
      <c r="I24" s="34" t="e">
        <f t="shared" ca="1" si="14"/>
        <v>#VALUE!</v>
      </c>
      <c r="J24" s="34" t="e">
        <f t="shared" ca="1" si="14"/>
        <v>#VALUE!</v>
      </c>
      <c r="K24" s="34" t="e">
        <f t="shared" ca="1" si="14"/>
        <v>#VALUE!</v>
      </c>
      <c r="M24" s="134"/>
      <c r="N24" s="57" t="str">
        <f t="shared" si="12"/>
        <v>较昨日变化</v>
      </c>
      <c r="O24" s="62">
        <f t="shared" si="12"/>
        <v>2053</v>
      </c>
      <c r="P24" s="62">
        <f t="shared" si="10"/>
        <v>2061</v>
      </c>
      <c r="Q24" s="62">
        <f t="shared" si="10"/>
        <v>2051</v>
      </c>
      <c r="R24" s="62">
        <f t="shared" si="10"/>
        <v>2045</v>
      </c>
      <c r="S24" s="135"/>
      <c r="U24" s="104"/>
      <c r="V24" s="104"/>
      <c r="W24" s="104"/>
      <c r="X24" s="104"/>
      <c r="Y24" s="104"/>
      <c r="Z24" s="104"/>
      <c r="AA24" s="104"/>
      <c r="AC24" s="104"/>
      <c r="AD24" s="104"/>
      <c r="AE24" s="104"/>
      <c r="AF24" s="104"/>
      <c r="AG24" s="104"/>
      <c r="AH24" s="104"/>
      <c r="AI24" s="104"/>
    </row>
    <row r="25" spans="1:36" ht="17.25" x14ac:dyDescent="0.15">
      <c r="A25" s="42" t="s">
        <v>119</v>
      </c>
      <c r="B25" s="42">
        <v>1</v>
      </c>
      <c r="D25" s="103" t="s">
        <v>115</v>
      </c>
      <c r="E25" s="27" t="s">
        <v>116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34"/>
      <c r="N25" s="63" t="str">
        <f t="shared" si="12"/>
        <v>南北发运利润</v>
      </c>
      <c r="O25" s="43">
        <f t="shared" si="12"/>
        <v>2040</v>
      </c>
      <c r="P25" s="43">
        <f t="shared" si="10"/>
        <v>2040</v>
      </c>
      <c r="Q25" s="43">
        <f t="shared" si="10"/>
        <v>2030</v>
      </c>
      <c r="R25" s="43">
        <f t="shared" si="10"/>
        <v>53</v>
      </c>
      <c r="S25" s="135"/>
      <c r="U25" s="104"/>
      <c r="V25" s="104"/>
      <c r="W25" s="104"/>
      <c r="X25" s="104"/>
      <c r="Y25" s="104"/>
      <c r="Z25" s="104"/>
      <c r="AA25" s="104"/>
      <c r="AC25" s="104"/>
      <c r="AD25" s="104"/>
      <c r="AE25" s="104"/>
      <c r="AF25" s="104"/>
      <c r="AG25" s="104"/>
      <c r="AH25" s="104"/>
      <c r="AI25" s="104"/>
    </row>
    <row r="26" spans="1:36" ht="16.5" x14ac:dyDescent="0.15">
      <c r="A26" s="42" t="s">
        <v>120</v>
      </c>
      <c r="B26" s="42">
        <v>0.2</v>
      </c>
      <c r="D26" s="103"/>
      <c r="E26" s="27" t="s">
        <v>117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04" t="s">
        <v>136</v>
      </c>
      <c r="N26" s="104"/>
      <c r="O26" s="104"/>
      <c r="P26" s="104"/>
      <c r="Q26" s="104"/>
      <c r="R26" s="104"/>
      <c r="S26" s="104"/>
      <c r="U26" s="104"/>
      <c r="V26" s="104"/>
      <c r="W26" s="104"/>
      <c r="X26" s="104"/>
      <c r="Y26" s="104"/>
      <c r="Z26" s="104"/>
      <c r="AA26" s="104"/>
      <c r="AC26" s="104"/>
      <c r="AD26" s="104"/>
      <c r="AE26" s="104"/>
      <c r="AF26" s="104"/>
      <c r="AG26" s="104"/>
      <c r="AH26" s="104"/>
      <c r="AI26" s="104"/>
    </row>
    <row r="27" spans="1:36" ht="16.5" x14ac:dyDescent="0.15">
      <c r="D27" s="103"/>
      <c r="E27" s="27" t="s">
        <v>118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04"/>
      <c r="N27" s="104"/>
      <c r="O27" s="104"/>
      <c r="P27" s="104"/>
      <c r="Q27" s="104"/>
      <c r="R27" s="104"/>
      <c r="S27" s="104"/>
    </row>
    <row r="28" spans="1:36" ht="16.5" x14ac:dyDescent="0.15">
      <c r="D28" s="103"/>
      <c r="E28" s="27" t="s">
        <v>119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04"/>
      <c r="N28" s="104"/>
      <c r="O28" s="104"/>
      <c r="P28" s="104"/>
      <c r="Q28" s="104"/>
      <c r="R28" s="104"/>
      <c r="S28" s="104"/>
    </row>
    <row r="29" spans="1:36" ht="16.5" x14ac:dyDescent="0.15">
      <c r="D29" s="103"/>
      <c r="E29" s="27" t="s">
        <v>120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04"/>
      <c r="N29" s="104"/>
      <c r="O29" s="104"/>
      <c r="P29" s="104"/>
      <c r="Q29" s="104"/>
      <c r="R29" s="104"/>
      <c r="S29" s="104"/>
    </row>
    <row r="30" spans="1:36" ht="16.5" x14ac:dyDescent="0.15">
      <c r="D30" s="103"/>
      <c r="E30" s="27" t="s">
        <v>121</v>
      </c>
      <c r="F30" s="27">
        <f t="shared" ref="F30:K30" si="15">SUM(F25:F29)</f>
        <v>27.2</v>
      </c>
      <c r="G30" s="27">
        <f t="shared" si="15"/>
        <v>27.2</v>
      </c>
      <c r="H30" s="27">
        <f t="shared" si="15"/>
        <v>27.2</v>
      </c>
      <c r="I30" s="27">
        <f t="shared" si="15"/>
        <v>27.2</v>
      </c>
      <c r="J30" s="27">
        <f t="shared" si="15"/>
        <v>27.2</v>
      </c>
      <c r="K30" s="27">
        <f t="shared" si="15"/>
        <v>27.2</v>
      </c>
      <c r="M30" s="104"/>
      <c r="N30" s="104"/>
      <c r="O30" s="104"/>
      <c r="P30" s="104"/>
      <c r="Q30" s="104"/>
      <c r="R30" s="104"/>
      <c r="S30" s="104"/>
    </row>
    <row r="31" spans="1:36" ht="15" x14ac:dyDescent="0.15">
      <c r="D31" s="134">
        <f>B2</f>
        <v>2044</v>
      </c>
      <c r="E31" s="35" t="s">
        <v>122</v>
      </c>
      <c r="F31" s="36" t="e">
        <f t="shared" ref="F31:K31" ca="1" si="16">F14+F24+F30</f>
        <v>#VALUE!</v>
      </c>
      <c r="G31" s="36" t="e">
        <f t="shared" ca="1" si="16"/>
        <v>#N/A</v>
      </c>
      <c r="H31" s="36" t="e">
        <f t="shared" ca="1" si="16"/>
        <v>#VALUE!</v>
      </c>
      <c r="I31" s="36" t="e">
        <f t="shared" ca="1" si="16"/>
        <v>#VALUE!</v>
      </c>
      <c r="J31" s="36" t="e">
        <f t="shared" ca="1" si="16"/>
        <v>#VALUE!</v>
      </c>
      <c r="K31" s="36" t="e">
        <f t="shared" ca="1" si="16"/>
        <v>#VALUE!</v>
      </c>
    </row>
    <row r="32" spans="1:36" ht="16.5" x14ac:dyDescent="0.15">
      <c r="D32" s="134"/>
      <c r="E32" s="37" t="s">
        <v>123</v>
      </c>
      <c r="F32" s="141">
        <f>$B$2</f>
        <v>2044</v>
      </c>
      <c r="G32" s="142"/>
      <c r="H32" s="142"/>
      <c r="I32" s="142"/>
      <c r="J32" s="142"/>
      <c r="K32" s="143"/>
    </row>
    <row r="33" spans="4:11" ht="16.5" x14ac:dyDescent="0.15">
      <c r="D33" s="134"/>
      <c r="E33" s="37" t="s">
        <v>89</v>
      </c>
      <c r="F33" s="141">
        <f>C2-C5</f>
        <v>0</v>
      </c>
      <c r="G33" s="142"/>
      <c r="H33" s="142"/>
      <c r="I33" s="142"/>
      <c r="J33" s="142"/>
      <c r="K33" s="143"/>
    </row>
    <row r="34" spans="4:11" ht="21" x14ac:dyDescent="0.15">
      <c r="D34" s="134"/>
      <c r="E34" s="38" t="s">
        <v>124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7">$E$32-H31</f>
        <v>#VALUE!</v>
      </c>
      <c r="I34" s="39" t="e">
        <f t="shared" ca="1" si="17"/>
        <v>#VALUE!</v>
      </c>
      <c r="J34" s="39" t="e">
        <f t="shared" ca="1" si="17"/>
        <v>#VALUE!</v>
      </c>
      <c r="K34" s="39" t="e">
        <f ca="1">$E$32-K31</f>
        <v>#VALUE!</v>
      </c>
    </row>
    <row r="35" spans="4:11" x14ac:dyDescent="0.15">
      <c r="D35" s="136" t="s">
        <v>125</v>
      </c>
      <c r="E35" s="40" t="s">
        <v>126</v>
      </c>
      <c r="F35" s="41" t="s">
        <v>127</v>
      </c>
      <c r="G35" s="41"/>
      <c r="H35" s="41" t="s">
        <v>128</v>
      </c>
      <c r="I35" s="41" t="s">
        <v>129</v>
      </c>
      <c r="J35" s="41" t="s">
        <v>130</v>
      </c>
      <c r="K35" s="41"/>
    </row>
    <row r="36" spans="4:11" ht="17.25" x14ac:dyDescent="0.15">
      <c r="D36" s="136"/>
      <c r="E36" s="40" t="s">
        <v>131</v>
      </c>
      <c r="F36" s="6">
        <f>LOOKUP(2,1/([3]prices!$P:$P&lt;&gt;0),[3]prices!$P:$P)</f>
        <v>53</v>
      </c>
      <c r="G36" s="6"/>
      <c r="H36" s="6">
        <f>LOOKUP(2,1/([3]prices!$Q:$Q&lt;&gt;0),[3]prices!$Q:$Q)</f>
        <v>61</v>
      </c>
      <c r="I36" s="6">
        <f>LOOKUP(2,1/([3]prices!$R:$R&lt;&gt;0),[3]prices!$R:$R)</f>
        <v>51</v>
      </c>
      <c r="J36" s="6">
        <f>LOOKUP(2,1/([3]prices!$S:$S&lt;&gt;0),[3]prices!$S:$S)</f>
        <v>45</v>
      </c>
      <c r="K36" s="41"/>
    </row>
    <row r="37" spans="4:11" ht="17.25" x14ac:dyDescent="0.15">
      <c r="D37" s="136"/>
      <c r="E37" s="40" t="s">
        <v>108</v>
      </c>
      <c r="F37" s="6">
        <f>LOOKUP(2,1/([3]prices!$H:$H&lt;&gt;0),[3]prices!$H:$H)</f>
        <v>2010</v>
      </c>
      <c r="G37" s="6"/>
      <c r="H37" s="6">
        <f>LOOKUP(2,1/([3]prices!$L:$L&lt;&gt;0),[3]prices!$L:$L)</f>
        <v>2030</v>
      </c>
      <c r="I37" s="6">
        <f>LOOKUP(2,1/([3]prices!$J:$J&lt;&gt;0),[3]prices!$J:$J)</f>
        <v>2040</v>
      </c>
      <c r="J37" s="6">
        <f>LOOKUP(2,1/([3]prices!$N:$N&lt;&gt;0),[3]prices!$N:$N)</f>
        <v>2040</v>
      </c>
      <c r="K37" s="42"/>
    </row>
    <row r="38" spans="4:11" x14ac:dyDescent="0.15">
      <c r="D38" s="136"/>
      <c r="E38" s="40" t="s">
        <v>89</v>
      </c>
      <c r="F38" s="42">
        <f>F37-INDEX([3]prices!I:I, COUNTA([3]prices!$A:$A))</f>
        <v>2053</v>
      </c>
      <c r="G38" s="42"/>
      <c r="H38" s="42">
        <f>H37-INDEX([3]prices!M:M, COUNTA([3]prices!$A:$A))</f>
        <v>2061</v>
      </c>
      <c r="I38" s="42">
        <f>I37-INDEX([3]prices!K:K, COUNTA([3]prices!$A:$A))</f>
        <v>2051</v>
      </c>
      <c r="J38" s="42">
        <f>J37-INDEX([3]prices!O:O, COUNTA([3]prices!$A:$A))</f>
        <v>2045</v>
      </c>
      <c r="K38" s="42"/>
    </row>
    <row r="39" spans="4:11" ht="17.25" x14ac:dyDescent="0.15">
      <c r="D39" s="136"/>
      <c r="E39" s="40" t="s">
        <v>132</v>
      </c>
      <c r="F39" s="43">
        <f>INDEX([3]prices!J:J, COUNTA([3]prices!$A:$A)+1)</f>
        <v>2040</v>
      </c>
      <c r="G39" s="43"/>
      <c r="H39" s="43">
        <f>INDEX([3]prices!N:N, COUNTA([3]prices!$A:$A)+1)</f>
        <v>2040</v>
      </c>
      <c r="I39" s="43">
        <f>INDEX([3]prices!L:L, COUNTA([3]prices!$A:$A)+1)</f>
        <v>2030</v>
      </c>
      <c r="J39" s="43">
        <f>INDEX([3]prices!P:P, COUNTA([3]prices!$A:$A)+1)</f>
        <v>53</v>
      </c>
      <c r="K39" s="42"/>
    </row>
  </sheetData>
  <mergeCells count="65"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U2:AA2"/>
    <mergeCell ref="U3:U4"/>
    <mergeCell ref="W3:X3"/>
    <mergeCell ref="Z3:AA3"/>
    <mergeCell ref="W4:X4"/>
    <mergeCell ref="Z4:AA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AC2:AI2"/>
    <mergeCell ref="AC3:AC4"/>
    <mergeCell ref="AE3:AF3"/>
    <mergeCell ref="AH3:AI3"/>
    <mergeCell ref="AE4:AF4"/>
    <mergeCell ref="AH4:AI4"/>
    <mergeCell ref="AC5:AC7"/>
    <mergeCell ref="AE5:AF5"/>
    <mergeCell ref="AH5:AI5"/>
    <mergeCell ref="AE6:AF6"/>
    <mergeCell ref="AH6:AI6"/>
    <mergeCell ref="AE7:AF7"/>
    <mergeCell ref="AH7:AI7"/>
    <mergeCell ref="AC22:AI26"/>
    <mergeCell ref="AC8:AC10"/>
    <mergeCell ref="AC11:AC13"/>
    <mergeCell ref="AI8:AI13"/>
    <mergeCell ref="AC14:AC16"/>
    <mergeCell ref="AC17:AC21"/>
    <mergeCell ref="AI17:AI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2019-05-30T09:37:17Z</dcterms:modified>
</cp:coreProperties>
</file>