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0" yWindow="0" windowWidth="25600" windowHeight="16000" tabRatio="500" firstSheet="1" activeTab="1"/>
  </bookViews>
  <sheets>
    <sheet name="COVER PAGE" sheetId="10" r:id="rId1"/>
    <sheet name="DISCOUNTED CASH FLOW MODEL" sheetId="7" r:id="rId2"/>
    <sheet name="UAA FINANCIAL RATIOS" sheetId="4" r:id="rId3"/>
    <sheet name="PRICE RATIO ANALYSIS" sheetId="6" r:id="rId4"/>
    <sheet name="UAA INCOME STATEMENT" sheetId="1" r:id="rId5"/>
    <sheet name="UAA BALANCE SHEET" sheetId="2" r:id="rId6"/>
    <sheet name="UAA STATEMENT OF CASH FLOWS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7" l="1"/>
  <c r="B9" i="7"/>
  <c r="B7" i="7"/>
  <c r="L6" i="7"/>
  <c r="B5" i="7"/>
  <c r="B8" i="7"/>
  <c r="C7" i="7"/>
  <c r="C5" i="7"/>
  <c r="C8" i="7"/>
  <c r="D7" i="7"/>
  <c r="D5" i="7"/>
  <c r="D8" i="7"/>
  <c r="E7" i="7"/>
  <c r="E5" i="7"/>
  <c r="E8" i="7"/>
  <c r="F8" i="7"/>
  <c r="D6" i="7"/>
  <c r="E6" i="7"/>
  <c r="F6" i="7"/>
  <c r="F5" i="7"/>
  <c r="F7" i="7"/>
  <c r="F9" i="7"/>
  <c r="C9" i="7"/>
  <c r="C10" i="7"/>
  <c r="C12" i="7"/>
  <c r="C14" i="7"/>
  <c r="C16" i="7"/>
  <c r="C17" i="7"/>
  <c r="D9" i="7"/>
  <c r="D10" i="7"/>
  <c r="D12" i="7"/>
  <c r="D14" i="7"/>
  <c r="D16" i="7"/>
  <c r="D17" i="7"/>
  <c r="E9" i="7"/>
  <c r="E10" i="7"/>
  <c r="E12" i="7"/>
  <c r="E14" i="7"/>
  <c r="E16" i="7"/>
  <c r="E17" i="7"/>
  <c r="B10" i="7"/>
  <c r="B11" i="7"/>
  <c r="C11" i="7"/>
  <c r="D11" i="7"/>
  <c r="E11" i="7"/>
  <c r="F11" i="7"/>
  <c r="F10" i="7"/>
  <c r="B12" i="7"/>
  <c r="B13" i="7"/>
  <c r="C13" i="7"/>
  <c r="D13" i="7"/>
  <c r="E13" i="7"/>
  <c r="F13" i="7"/>
  <c r="F12" i="7"/>
  <c r="B14" i="7"/>
  <c r="B15" i="7"/>
  <c r="C15" i="7"/>
  <c r="D15" i="7"/>
  <c r="E15" i="7"/>
  <c r="F15" i="7"/>
  <c r="F14" i="7"/>
  <c r="F16" i="7"/>
  <c r="F17" i="7"/>
  <c r="G8" i="7"/>
  <c r="G6" i="7"/>
  <c r="G5" i="7"/>
  <c r="G7" i="7"/>
  <c r="G9" i="7"/>
  <c r="G11" i="7"/>
  <c r="G10" i="7"/>
  <c r="G13" i="7"/>
  <c r="G12" i="7"/>
  <c r="G15" i="7"/>
  <c r="G14" i="7"/>
  <c r="G16" i="7"/>
  <c r="G17" i="7"/>
  <c r="H8" i="7"/>
  <c r="H6" i="7"/>
  <c r="H5" i="7"/>
  <c r="H7" i="7"/>
  <c r="H9" i="7"/>
  <c r="H11" i="7"/>
  <c r="H10" i="7"/>
  <c r="H13" i="7"/>
  <c r="H12" i="7"/>
  <c r="H15" i="7"/>
  <c r="H14" i="7"/>
  <c r="H16" i="7"/>
  <c r="H17" i="7"/>
  <c r="I8" i="7"/>
  <c r="I6" i="7"/>
  <c r="I5" i="7"/>
  <c r="I7" i="7"/>
  <c r="I9" i="7"/>
  <c r="I11" i="7"/>
  <c r="I10" i="7"/>
  <c r="I13" i="7"/>
  <c r="I12" i="7"/>
  <c r="I15" i="7"/>
  <c r="I14" i="7"/>
  <c r="I16" i="7"/>
  <c r="I17" i="7"/>
  <c r="J8" i="7"/>
  <c r="J6" i="7"/>
  <c r="J5" i="7"/>
  <c r="J7" i="7"/>
  <c r="J9" i="7"/>
  <c r="J11" i="7"/>
  <c r="J10" i="7"/>
  <c r="J13" i="7"/>
  <c r="J12" i="7"/>
  <c r="J15" i="7"/>
  <c r="J14" i="7"/>
  <c r="J16" i="7"/>
  <c r="J17" i="7"/>
  <c r="B16" i="7"/>
  <c r="B17" i="7"/>
  <c r="L19" i="7"/>
  <c r="L20" i="7"/>
  <c r="L18" i="7"/>
  <c r="L21" i="7"/>
  <c r="L12" i="7"/>
  <c r="L14" i="7"/>
  <c r="L15" i="7"/>
  <c r="L16" i="7"/>
  <c r="C6" i="7"/>
  <c r="B4" i="6"/>
  <c r="B5" i="6"/>
  <c r="C4" i="6"/>
  <c r="C5" i="6"/>
  <c r="D4" i="6"/>
  <c r="D5" i="6"/>
  <c r="E4" i="6"/>
  <c r="E5" i="6"/>
  <c r="G5" i="6"/>
  <c r="H5" i="6"/>
  <c r="B19" i="6"/>
  <c r="B20" i="6"/>
  <c r="B7" i="6"/>
  <c r="B8" i="6"/>
  <c r="C19" i="6"/>
  <c r="C20" i="6"/>
  <c r="C7" i="6"/>
  <c r="C8" i="6"/>
  <c r="D19" i="6"/>
  <c r="D20" i="6"/>
  <c r="D7" i="6"/>
  <c r="D8" i="6"/>
  <c r="E19" i="6"/>
  <c r="E20" i="6"/>
  <c r="E7" i="6"/>
  <c r="E8" i="6"/>
  <c r="G8" i="6"/>
  <c r="H8" i="6"/>
  <c r="B10" i="6"/>
  <c r="B11" i="6"/>
  <c r="C10" i="6"/>
  <c r="C11" i="6"/>
  <c r="D10" i="6"/>
  <c r="D11" i="6"/>
  <c r="E10" i="6"/>
  <c r="E11" i="6"/>
  <c r="G11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B13" i="4"/>
  <c r="E13" i="4"/>
  <c r="D11" i="4"/>
  <c r="C11" i="4"/>
  <c r="B11" i="4"/>
  <c r="E11" i="4"/>
  <c r="D10" i="4"/>
  <c r="C10" i="4"/>
  <c r="B10" i="4"/>
  <c r="E10" i="4"/>
  <c r="D8" i="4"/>
  <c r="C8" i="4"/>
  <c r="B8" i="4"/>
  <c r="E8" i="4"/>
  <c r="D7" i="4"/>
  <c r="C7" i="4"/>
  <c r="B7" i="4"/>
  <c r="E7" i="4"/>
  <c r="D6" i="4"/>
  <c r="C6" i="4"/>
  <c r="B6" i="4"/>
  <c r="E6" i="4"/>
  <c r="D4" i="4"/>
  <c r="C4" i="4"/>
  <c r="B4" i="4"/>
  <c r="E4" i="4"/>
  <c r="B3" i="4"/>
  <c r="D3" i="4"/>
  <c r="C3" i="4"/>
  <c r="E3" i="4"/>
</calcChain>
</file>

<file path=xl/sharedStrings.xml><?xml version="1.0" encoding="utf-8"?>
<sst xmlns="http://schemas.openxmlformats.org/spreadsheetml/2006/main" count="243" uniqueCount="150">
  <si>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</si>
  <si>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</si>
  <si>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</si>
  <si>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</si>
  <si>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</si>
  <si>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</si>
  <si>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</si>
  <si>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</si>
  <si>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</si>
  <si>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</si>
  <si>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</si>
  <si>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</si>
  <si>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</si>
  <si>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</si>
  <si>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</si>
  <si>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</si>
  <si>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</si>
  <si>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</si>
  <si>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</si>
  <si>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</si>
  <si>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</si>
  <si>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</si>
  <si>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</si>
  <si>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</si>
  <si>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</si>
  <si>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</si>
  <si>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</si>
  <si>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</si>
  <si>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</si>
  <si>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</si>
  <si>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</si>
  <si>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</si>
  <si>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</si>
  <si>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</si>
  <si>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</si>
  <si>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</si>
  <si>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</si>
  <si>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</si>
  <si>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</si>
  <si>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</si>
  <si>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</si>
  <si>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</si>
  <si>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</si>
  <si>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</si>
  <si>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</si>
  <si>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</si>
  <si>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</si>
  <si>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</si>
  <si>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</si>
  <si>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</si>
  <si>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</si>
  <si>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</si>
  <si>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</si>
  <si>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</si>
  <si>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</si>
  <si>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</si>
  <si>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</si>
  <si>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</si>
  <si>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</si>
  <si>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</si>
  <si>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</si>
  <si>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</si>
  <si>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</si>
  <si>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</si>
  <si>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</si>
  <si>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</si>
  <si>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</si>
  <si>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</si>
  <si>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</si>
  <si>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</si>
  <si>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</si>
  <si>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</si>
  <si>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</si>
  <si>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</si>
  <si>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</si>
  <si>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</si>
  <si>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</si>
  <si>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</si>
  <si>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</si>
  <si>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</si>
  <si>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</si>
  <si>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</si>
  <si>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</si>
  <si>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</si>
  <si>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</si>
  <si>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</si>
  <si>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</si>
  <si>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</si>
  <si>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</si>
  <si>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</si>
  <si>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</si>
  <si>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</si>
  <si>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UAA PRICE RATIO ANALYSIS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</si>
  <si>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</si>
  <si>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</si>
  <si>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</si>
  <si>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</si>
  <si>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</si>
  <si>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</si>
  <si>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</si>
  <si>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</si>
  <si>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</si>
  <si>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</si>
  <si>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</si>
  <si>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</si>
  <si>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</si>
  <si>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</si>
  <si>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</si>
  <si>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</si>
  <si>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</si>
  <si>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 xml:space="preserve"> </t>
  </si>
  <si>
    <t>Tax Rate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</si>
  <si>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</si>
  <si>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</si>
  <si>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</si>
  <si>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</si>
  <si>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</si>
  <si>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</si>
  <si>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</si>
  <si>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</si>
  <si>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</si>
  <si>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</si>
  <si>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</si>
  <si>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</si>
  <si>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</si>
  <si>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</si>
  <si>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</si>
  <si>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</si>
  <si>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</si>
  <si>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</si>
  <si>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</si>
  <si>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</si>
  <si>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UAA DISCOUNTED CASH FLOW MODEL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</si>
  <si>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</si>
  <si>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</si>
  <si>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</si>
  <si>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</si>
  <si>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</si>
  <si>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</si>
  <si>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</si>
  <si>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UNDER ARMOUR VALUATION AND FORECASTS</t>
  </si>
  <si>
    <t>spreadsheet completed on 7/1/2019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</si>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</sst>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0.0%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</cellStyleXfs>
  <cellXfs count="155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7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44" fontId="10" fillId="0" borderId="1" xfId="1" applyFont="1" applyFill="1" applyBorder="1" applyAlignment="1">
      <alignment horizontal="right"/>
    </xf>
    <xf numFmtId="43" fontId="10" fillId="0" borderId="1" xfId="3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0" fontId="7" fillId="0" borderId="0" xfId="0" applyFont="1" applyAlignment="1">
      <alignment horizontal="left" vertical="center" indent="3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10" fontId="7" fillId="0" borderId="10" xfId="2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5"/>
    </xf>
    <xf numFmtId="0" fontId="7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  <xf numFmtId="0" fontId="25" fillId="0" borderId="13" xfId="0" applyNumberFormat="1" applyFont="1" applyBorder="1" applyAlignment="1">
      <alignment horizontal="left" vertical="center"/>
    </xf>
    <xf numFmtId="2" fontId="10" fillId="0" borderId="10" xfId="0" applyNumberFormat="1" applyFont="1" applyBorder="1" applyAlignment="1">
      <alignment horizontal="right" vertical="center"/>
    </xf>
  </cellXfs>
  <cellStyles count="13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G6" sqref="G6"/>
    </sheetView>
  </sheetViews>
  <sheetFormatPr baseColWidth="10" defaultRowHeight="16" x14ac:dyDescent="0.2"/>
  <cols>
    <col min="1" max="1" width="31.83203125" style="68" customWidth="1"/>
    <col min="2" max="2" width="19.1640625" style="68" customWidth="1"/>
    <col min="3" max="3" width="24.33203125" style="68" customWidth="1"/>
    <col min="4" max="4" width="29.6640625" style="68" customWidth="1"/>
    <col min="5" max="16384" width="10.83203125" style="130"/>
  </cols>
  <sheetData>
    <row r="1" spans="1:8" ht="34" customHeight="1" x14ac:dyDescent="0.2">
      <c r="A1" s="138" t="s">
        <v>140</v>
      </c>
      <c r="B1" s="138"/>
      <c r="C1" s="138"/>
      <c r="D1" s="138"/>
    </row>
    <row r="2" spans="1:8" ht="34" customHeight="1" x14ac:dyDescent="0.2">
      <c r="A2" s="138" t="s">
        <v>141</v>
      </c>
      <c r="B2" s="138"/>
      <c r="C2" s="138"/>
      <c r="D2" s="138"/>
    </row>
    <row r="3" spans="1:8" ht="34" customHeight="1" x14ac:dyDescent="0.2">
      <c r="A3" s="131" t="s">
        <v>148</v>
      </c>
      <c r="B3" s="139" t="s">
        <v>89</v>
      </c>
      <c r="C3" s="139"/>
      <c r="D3" s="139"/>
    </row>
    <row r="4" spans="1:8" ht="34" customHeight="1" x14ac:dyDescent="0.2">
      <c r="A4" s="68" t="s">
        <v>143</v>
      </c>
      <c r="B4" s="68" t="s">
        <v>142</v>
      </c>
    </row>
    <row r="5" spans="1:8" ht="34" customHeight="1" x14ac:dyDescent="0.2">
      <c r="A5" s="68" t="s">
        <v>144</v>
      </c>
      <c r="B5" s="68" t="s">
        <v>145</v>
      </c>
    </row>
    <row r="6" spans="1:8" ht="34" customHeight="1" x14ac:dyDescent="0.2">
      <c r="A6" s="68" t="s">
        <v>146</v>
      </c>
      <c r="B6" s="68" t="s">
        <v>147</v>
      </c>
    </row>
    <row r="9" spans="1:8" x14ac:dyDescent="0.2">
      <c r="H9" s="132"/>
    </row>
    <row r="12" spans="1:8" x14ac:dyDescent="0.2">
      <c r="F12" s="132"/>
    </row>
    <row r="16" spans="1:8" x14ac:dyDescent="0.2">
      <c r="D16" s="132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60"/>
  <sheetViews>
    <sheetView tabSelected="1" zoomScale="132" workbookViewId="0">
      <selection activeCell="H22" sqref="H22"/>
    </sheetView>
  </sheetViews>
  <sheetFormatPr baseColWidth="10" defaultRowHeight="16" x14ac:dyDescent="0.2"/>
  <cols>
    <col min="1" max="1" width="34" style="7" customWidth="1"/>
    <col min="2" max="4" width="14.33203125" style="7" customWidth="1"/>
    <col min="5" max="5" width="15.1640625" style="7" customWidth="1"/>
    <col min="6" max="7" width="14.33203125" style="68" customWidth="1"/>
    <col min="8" max="9" width="16.1640625" style="68" customWidth="1"/>
    <col min="10" max="10" width="14.33203125" style="68" customWidth="1"/>
    <col min="11" max="11" width="24.33203125" style="68" customWidth="1"/>
    <col min="12" max="12" width="16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41" t="s">
        <v>132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4" ht="20" customHeight="1" x14ac:dyDescent="0.2">
      <c r="A2" s="114" t="s">
        <v>131</v>
      </c>
      <c r="B2" s="140" t="s">
        <v>130</v>
      </c>
      <c r="C2" s="140"/>
      <c r="D2" s="140"/>
      <c r="E2" s="140"/>
      <c r="F2" s="140" t="s">
        <v>139</v>
      </c>
      <c r="G2" s="140"/>
      <c r="H2" s="140"/>
      <c r="I2" s="140"/>
      <c r="J2" s="140"/>
    </row>
    <row r="3" spans="1:14" ht="13" customHeight="1" thickBot="1" x14ac:dyDescent="0.25">
      <c r="A3" s="135" t="s">
        <v>149</v>
      </c>
      <c r="B3" s="136">
        <v>1</v>
      </c>
      <c r="C3" s="136">
        <v>2</v>
      </c>
      <c r="D3" s="136">
        <v>3</v>
      </c>
      <c r="E3" s="136">
        <v>4</v>
      </c>
      <c r="F3" s="136">
        <v>5</v>
      </c>
      <c r="G3" s="136">
        <v>6</v>
      </c>
      <c r="H3" s="136">
        <v>7</v>
      </c>
      <c r="I3" s="136">
        <v>8</v>
      </c>
      <c r="J3" s="136">
        <v>9</v>
      </c>
    </row>
    <row r="4" spans="1:14" ht="20" customHeight="1" x14ac:dyDescent="0.2">
      <c r="A4" s="4" t="s">
        <v>0</v>
      </c>
      <c r="B4" s="5">
        <v>42369</v>
      </c>
      <c r="C4" s="5">
        <v>42735</v>
      </c>
      <c r="D4" s="5">
        <v>43100</v>
      </c>
      <c r="E4" s="5">
        <v>43465</v>
      </c>
      <c r="F4" s="78">
        <v>43830</v>
      </c>
      <c r="G4" s="78">
        <v>44196</v>
      </c>
      <c r="H4" s="78">
        <v>44561</v>
      </c>
      <c r="I4" s="78">
        <v>44926</v>
      </c>
      <c r="J4" s="78">
        <v>45291</v>
      </c>
      <c r="K4" s="144" t="s">
        <v>119</v>
      </c>
      <c r="L4" s="145"/>
    </row>
    <row r="5" spans="1:14" ht="20" customHeight="1" thickBot="1" x14ac:dyDescent="0.25">
      <c r="A5" s="111" t="s">
        <v>1</v>
      </c>
      <c r="B5" s="98">
        <f>'UAA INCOME STATEMENT'!E3</f>
        <v>3963313</v>
      </c>
      <c r="C5" s="98">
        <f>'UAA INCOME STATEMENT'!D3</f>
        <v>4833338</v>
      </c>
      <c r="D5" s="98">
        <f>'UAA INCOME STATEMENT'!C3</f>
        <v>4989244</v>
      </c>
      <c r="E5" s="98">
        <f>'UAA INCOME STATEMENT'!B3</f>
        <v>5193185</v>
      </c>
      <c r="F5" s="99">
        <f>E5*(1+F6)</f>
        <v>5383080.3409567811</v>
      </c>
      <c r="G5" s="99">
        <f>F5*(1+G6)</f>
        <v>5591519.6456959741</v>
      </c>
      <c r="H5" s="99">
        <f>G5*(1+H6)</f>
        <v>5802005.2816998437</v>
      </c>
      <c r="I5" s="99">
        <f>H5*(1+I6)</f>
        <v>6023540.1211289046</v>
      </c>
      <c r="J5" s="99">
        <f>I5*(1+J6)</f>
        <v>6251911.1618101681</v>
      </c>
      <c r="K5" s="146"/>
      <c r="L5" s="147"/>
    </row>
    <row r="6" spans="1:14" ht="20" customHeight="1" x14ac:dyDescent="0.2">
      <c r="A6" s="82" t="s">
        <v>113</v>
      </c>
      <c r="B6" s="106"/>
      <c r="C6" s="32">
        <f>(C5-B5)/B5</f>
        <v>0.21951962915873666</v>
      </c>
      <c r="D6" s="32">
        <f>(D5-C5)/C5</f>
        <v>3.2256382649009853E-2</v>
      </c>
      <c r="E6" s="32">
        <f>(E5-D5)/D5</f>
        <v>4.087613273674328E-2</v>
      </c>
      <c r="F6" s="107">
        <f>AVERAGE(D6:E6)</f>
        <v>3.6566257692876566E-2</v>
      </c>
      <c r="G6" s="107">
        <f t="shared" ref="G6:H6" si="0">AVERAGE(E6:F6)</f>
        <v>3.872119521480992E-2</v>
      </c>
      <c r="H6" s="107">
        <f t="shared" si="0"/>
        <v>3.7643726453843243E-2</v>
      </c>
      <c r="I6" s="107">
        <f>AVERAGE(G6:H6)</f>
        <v>3.8182460834326581E-2</v>
      </c>
      <c r="J6" s="107">
        <f>AVERAGE(H6:I6)</f>
        <v>3.7913093644084912E-2</v>
      </c>
      <c r="K6" s="115" t="s">
        <v>120</v>
      </c>
      <c r="L6" s="83">
        <f>B9/B7</f>
        <v>0.38401945613523608</v>
      </c>
    </row>
    <row r="7" spans="1:14" s="68" customFormat="1" ht="20" customHeight="1" x14ac:dyDescent="0.2">
      <c r="A7" s="112" t="s">
        <v>122</v>
      </c>
      <c r="B7" s="100">
        <f>B42</f>
        <v>401313</v>
      </c>
      <c r="C7" s="100">
        <f>C42</f>
        <v>414716</v>
      </c>
      <c r="D7" s="100">
        <f>D42</f>
        <v>24229</v>
      </c>
      <c r="E7" s="100">
        <f>E42</f>
        <v>-34220</v>
      </c>
      <c r="F7" s="101">
        <f>F8*F5</f>
        <v>249407.56295870829</v>
      </c>
      <c r="G7" s="101">
        <f>G8*G5</f>
        <v>259064.92189208244</v>
      </c>
      <c r="H7" s="101">
        <f t="shared" ref="H7:J7" si="1">H8*H5</f>
        <v>268817.09094557428</v>
      </c>
      <c r="I7" s="101">
        <f t="shared" si="1"/>
        <v>279081.18899220129</v>
      </c>
      <c r="J7" s="101">
        <f t="shared" si="1"/>
        <v>289662.02024476521</v>
      </c>
      <c r="K7" s="115" t="s">
        <v>123</v>
      </c>
      <c r="L7" s="85">
        <v>8.1000000000000003E-2</v>
      </c>
    </row>
    <row r="8" spans="1:14" s="68" customFormat="1" ht="20" customHeight="1" x14ac:dyDescent="0.2">
      <c r="A8" s="110" t="s">
        <v>118</v>
      </c>
      <c r="B8" s="108">
        <f>B7/B5</f>
        <v>0.10125695346292357</v>
      </c>
      <c r="C8" s="108">
        <f t="shared" ref="C8:E8" si="2">C7/C5</f>
        <v>8.5803227500332063E-2</v>
      </c>
      <c r="D8" s="108">
        <f t="shared" si="2"/>
        <v>4.856246758025865E-3</v>
      </c>
      <c r="E8" s="108">
        <f t="shared" si="2"/>
        <v>-6.589405153099687E-3</v>
      </c>
      <c r="F8" s="107">
        <f>AVERAGE(B8:E8)</f>
        <v>4.6331755642045454E-2</v>
      </c>
      <c r="G8" s="107">
        <f>F8</f>
        <v>4.6331755642045454E-2</v>
      </c>
      <c r="H8" s="107">
        <f t="shared" ref="H8:J8" si="3">G8</f>
        <v>4.6331755642045454E-2</v>
      </c>
      <c r="I8" s="107">
        <f t="shared" si="3"/>
        <v>4.6331755642045454E-2</v>
      </c>
      <c r="J8" s="107">
        <f t="shared" si="3"/>
        <v>4.6331755642045454E-2</v>
      </c>
      <c r="K8" s="116"/>
      <c r="L8" s="86"/>
    </row>
    <row r="9" spans="1:14" s="68" customFormat="1" ht="20" customHeight="1" x14ac:dyDescent="0.2">
      <c r="A9" s="76" t="s">
        <v>114</v>
      </c>
      <c r="B9" s="102">
        <f>B45</f>
        <v>154112</v>
      </c>
      <c r="C9" s="102">
        <f>C45</f>
        <v>131303</v>
      </c>
      <c r="D9" s="102">
        <f>D45</f>
        <v>37951</v>
      </c>
      <c r="E9" s="102">
        <f>E45</f>
        <v>-20552</v>
      </c>
      <c r="F9" s="103">
        <f>-$L$6*F7</f>
        <v>-95777.356683417805</v>
      </c>
      <c r="G9" s="103">
        <f>-$L$6*G7</f>
        <v>-99485.970408714915</v>
      </c>
      <c r="H9" s="103">
        <f>-$L$6*H7</f>
        <v>-103230.99306477573</v>
      </c>
      <c r="I9" s="103">
        <f>-$L$6*I7</f>
        <v>-107172.60641436017</v>
      </c>
      <c r="J9" s="103">
        <f>-$L$6*J7</f>
        <v>-111235.85147742848</v>
      </c>
      <c r="K9" s="117" t="s">
        <v>124</v>
      </c>
      <c r="L9" s="87">
        <v>8.5000000000000006E-2</v>
      </c>
    </row>
    <row r="10" spans="1:14" ht="20" customHeight="1" x14ac:dyDescent="0.2">
      <c r="A10" s="82" t="s">
        <v>115</v>
      </c>
      <c r="B10" s="98">
        <f>B93</f>
        <v>100940</v>
      </c>
      <c r="C10" s="98">
        <f>C93</f>
        <v>144770</v>
      </c>
      <c r="D10" s="98">
        <f>D93</f>
        <v>174001</v>
      </c>
      <c r="E10" s="98">
        <f>E93</f>
        <v>182022</v>
      </c>
      <c r="F10" s="103">
        <f>F5*F11</f>
        <v>168687.39062248886</v>
      </c>
      <c r="G10" s="103">
        <f t="shared" ref="G10:J10" si="4">G5*G11</f>
        <v>175219.16800505915</v>
      </c>
      <c r="H10" s="103">
        <f t="shared" si="4"/>
        <v>181815.07043491158</v>
      </c>
      <c r="I10" s="103">
        <f t="shared" si="4"/>
        <v>188757.21724088295</v>
      </c>
      <c r="J10" s="103">
        <f t="shared" si="4"/>
        <v>195913.58729413344</v>
      </c>
      <c r="K10" s="117"/>
      <c r="L10" s="88"/>
    </row>
    <row r="11" spans="1:14" ht="20" customHeight="1" x14ac:dyDescent="0.2">
      <c r="A11" s="113" t="s">
        <v>121</v>
      </c>
      <c r="B11" s="32">
        <f>B10/B5</f>
        <v>2.546859155459082E-2</v>
      </c>
      <c r="C11" s="32">
        <f t="shared" ref="C11:E11" si="5">C10/C5</f>
        <v>2.9952384873559432E-2</v>
      </c>
      <c r="D11" s="32">
        <f t="shared" si="5"/>
        <v>3.4875223580967375E-2</v>
      </c>
      <c r="E11" s="32">
        <f t="shared" si="5"/>
        <v>3.5050166708869415E-2</v>
      </c>
      <c r="F11" s="109">
        <f>AVERAGE(B11:E11)</f>
        <v>3.1336591679496761E-2</v>
      </c>
      <c r="G11" s="109">
        <f>F11</f>
        <v>3.1336591679496761E-2</v>
      </c>
      <c r="H11" s="109">
        <f t="shared" ref="H11:J11" si="6">G11</f>
        <v>3.1336591679496761E-2</v>
      </c>
      <c r="I11" s="109">
        <f t="shared" si="6"/>
        <v>3.1336591679496761E-2</v>
      </c>
      <c r="J11" s="109">
        <f t="shared" si="6"/>
        <v>3.1336591679496761E-2</v>
      </c>
      <c r="K11" s="117" t="s">
        <v>125</v>
      </c>
      <c r="L11" s="83">
        <v>0.02</v>
      </c>
    </row>
    <row r="12" spans="1:14" ht="20" customHeight="1" x14ac:dyDescent="0.2">
      <c r="A12" s="82" t="s">
        <v>116</v>
      </c>
      <c r="B12" s="98">
        <f>B102</f>
        <v>-298928</v>
      </c>
      <c r="C12" s="98">
        <f>C102</f>
        <v>-386746</v>
      </c>
      <c r="D12" s="98">
        <f>D102</f>
        <v>-281339</v>
      </c>
      <c r="E12" s="98">
        <f>E102</f>
        <v>-170385</v>
      </c>
      <c r="F12" s="103">
        <f>F5*F13</f>
        <v>-329227.24773036549</v>
      </c>
      <c r="G12" s="103">
        <f t="shared" ref="G12:J12" si="7">G5*G13</f>
        <v>-341975.32025976758</v>
      </c>
      <c r="H12" s="103">
        <f t="shared" si="7"/>
        <v>-354848.54566959169</v>
      </c>
      <c r="I12" s="103">
        <f>I5*I13</f>
        <v>-368397.53636673867</v>
      </c>
      <c r="J12" s="103">
        <f t="shared" si="7"/>
        <v>-382364.62666126102</v>
      </c>
      <c r="K12" s="117" t="s">
        <v>126</v>
      </c>
      <c r="L12" s="89">
        <f>L9*J7</f>
        <v>24621.271720805045</v>
      </c>
    </row>
    <row r="13" spans="1:14" ht="20" customHeight="1" x14ac:dyDescent="0.2">
      <c r="A13" s="113" t="s">
        <v>121</v>
      </c>
      <c r="B13" s="32">
        <f>B12/B5</f>
        <v>-7.542376794363706E-2</v>
      </c>
      <c r="C13" s="32">
        <f t="shared" ref="C13:E13" si="8">C12/C5</f>
        <v>-8.001633653595093E-2</v>
      </c>
      <c r="D13" s="32">
        <f t="shared" si="8"/>
        <v>-5.6389104241043334E-2</v>
      </c>
      <c r="E13" s="32">
        <f t="shared" si="8"/>
        <v>-3.2809345324689952E-2</v>
      </c>
      <c r="F13" s="109">
        <f>AVERAGE(B13:E13)</f>
        <v>-6.1159638511330321E-2</v>
      </c>
      <c r="G13" s="109">
        <f>F13</f>
        <v>-6.1159638511330321E-2</v>
      </c>
      <c r="H13" s="109">
        <f t="shared" ref="H13:J13" si="9">G13</f>
        <v>-6.1159638511330321E-2</v>
      </c>
      <c r="I13" s="109">
        <f t="shared" si="9"/>
        <v>-6.1159638511330321E-2</v>
      </c>
      <c r="J13" s="109">
        <f t="shared" si="9"/>
        <v>-6.1159638511330321E-2</v>
      </c>
      <c r="K13" s="117"/>
      <c r="L13" s="88"/>
      <c r="N13" s="90"/>
    </row>
    <row r="14" spans="1:14" ht="20" customHeight="1" x14ac:dyDescent="0.2">
      <c r="A14" s="82" t="s">
        <v>117</v>
      </c>
      <c r="B14" s="98">
        <f>(1498763-1549399)-(478810-421627)</f>
        <v>-107819</v>
      </c>
      <c r="C14" s="98">
        <f>(C60-B60)-(C73-B73)</f>
        <v>259384</v>
      </c>
      <c r="D14" s="98">
        <f>(D60-C60)-(D73-C73)</f>
        <v>-2033</v>
      </c>
      <c r="E14" s="98">
        <f>(E60-D60)-(E73-D73)</f>
        <v>347</v>
      </c>
      <c r="F14" s="101">
        <f>F5*F15</f>
        <v>35152.435746450261</v>
      </c>
      <c r="G14" s="103">
        <f>G5*G15</f>
        <v>36513.580073264624</v>
      </c>
      <c r="H14" s="103">
        <f t="shared" ref="H14:J14" si="10">H5*H15</f>
        <v>37888.087293393095</v>
      </c>
      <c r="I14" s="103">
        <f t="shared" si="10"/>
        <v>39334.747702560628</v>
      </c>
      <c r="J14" s="103">
        <f t="shared" si="10"/>
        <v>40826.049675674265</v>
      </c>
      <c r="K14" s="117" t="s">
        <v>127</v>
      </c>
      <c r="L14" s="89">
        <f>L12/(1+L7)</f>
        <v>22776.384570587463</v>
      </c>
    </row>
    <row r="15" spans="1:14" ht="20" customHeight="1" thickBot="1" x14ac:dyDescent="0.25">
      <c r="A15" s="113" t="s">
        <v>121</v>
      </c>
      <c r="B15" s="32">
        <f>B14/B5</f>
        <v>-2.7204260677872277E-2</v>
      </c>
      <c r="C15" s="32">
        <f>C14/C5</f>
        <v>5.3665603357348483E-2</v>
      </c>
      <c r="D15" s="32">
        <f>D14/D5</f>
        <v>-4.0747656358358099E-4</v>
      </c>
      <c r="E15" s="32">
        <f>E14/E5</f>
        <v>6.6818339804955912E-5</v>
      </c>
      <c r="F15" s="109">
        <f>AVERAGE(B15:E15)</f>
        <v>6.5301711139243955E-3</v>
      </c>
      <c r="G15" s="109">
        <f>F15</f>
        <v>6.5301711139243955E-3</v>
      </c>
      <c r="H15" s="109">
        <f t="shared" ref="H15:J15" si="11">G15</f>
        <v>6.5301711139243955E-3</v>
      </c>
      <c r="I15" s="109">
        <f t="shared" si="11"/>
        <v>6.5301711139243955E-3</v>
      </c>
      <c r="J15" s="109">
        <f t="shared" si="11"/>
        <v>6.5301711139243955E-3</v>
      </c>
      <c r="K15" s="118" t="s">
        <v>128</v>
      </c>
      <c r="L15" s="92">
        <f>SUM(F16:J16)</f>
        <v>4360426.372875886</v>
      </c>
    </row>
    <row r="16" spans="1:14" ht="20" customHeight="1" thickBot="1" x14ac:dyDescent="0.25">
      <c r="A16" s="20" t="s">
        <v>112</v>
      </c>
      <c r="B16" s="104">
        <f>B7-B9+B10-B12-B14</f>
        <v>754888</v>
      </c>
      <c r="C16" s="104">
        <f>C7-C9+C10-C12-C14</f>
        <v>555545</v>
      </c>
      <c r="D16" s="104">
        <f>D7-D9+D10-D12-D14</f>
        <v>443651</v>
      </c>
      <c r="E16" s="104">
        <f>E7-E9+E10-E12-E14</f>
        <v>338392</v>
      </c>
      <c r="F16" s="105">
        <f t="shared" ref="F16:J16" si="12">F7-F9+F10-F12-F14</f>
        <v>807947.12224853016</v>
      </c>
      <c r="G16" s="105">
        <f>G7-G9+G10-G12-G14</f>
        <v>839231.80049235944</v>
      </c>
      <c r="H16" s="105">
        <f t="shared" si="12"/>
        <v>870823.61282146012</v>
      </c>
      <c r="I16" s="105">
        <f t="shared" si="12"/>
        <v>904073.80131162237</v>
      </c>
      <c r="J16" s="105">
        <f t="shared" si="12"/>
        <v>938350.03600191383</v>
      </c>
      <c r="K16" s="96" t="s">
        <v>129</v>
      </c>
      <c r="L16" s="97">
        <f>SUM(L14:L15)</f>
        <v>4383202.7574464735</v>
      </c>
    </row>
    <row r="17" spans="1:12" ht="20" customHeight="1" thickBot="1" x14ac:dyDescent="0.25">
      <c r="A17" s="122" t="s">
        <v>135</v>
      </c>
      <c r="B17" s="137">
        <f>B16/((1+$L$7)^B3)</f>
        <v>698323.77428307128</v>
      </c>
      <c r="C17" s="137">
        <f>C16/((1+$L$7)^C3)</f>
        <v>475409.49937572796</v>
      </c>
      <c r="D17" s="137">
        <f t="shared" ref="D17:J17" si="13">D16/((1+$L$7)^D3)</f>
        <v>351207.98622979014</v>
      </c>
      <c r="E17" s="137">
        <f t="shared" si="13"/>
        <v>247809.13481167838</v>
      </c>
      <c r="F17" s="105">
        <f t="shared" si="13"/>
        <v>547336.57300250884</v>
      </c>
      <c r="G17" s="105">
        <f t="shared" si="13"/>
        <v>525929.78658089181</v>
      </c>
      <c r="H17" s="105">
        <f t="shared" si="13"/>
        <v>504836.02553272067</v>
      </c>
      <c r="I17" s="105">
        <f t="shared" si="13"/>
        <v>484839.87724827096</v>
      </c>
      <c r="J17" s="105">
        <f t="shared" si="13"/>
        <v>465514.94626898371</v>
      </c>
      <c r="K17" s="120"/>
      <c r="L17" s="121"/>
    </row>
    <row r="18" spans="1:12" ht="20" customHeight="1" x14ac:dyDescent="0.2">
      <c r="K18" s="125" t="s">
        <v>133</v>
      </c>
      <c r="L18" s="126">
        <f>SUM(F17:I17)</f>
        <v>2062942.2623643922</v>
      </c>
    </row>
    <row r="19" spans="1:12" ht="20" customHeight="1" x14ac:dyDescent="0.2">
      <c r="C19" s="124"/>
      <c r="D19" s="124"/>
      <c r="E19" s="124"/>
      <c r="F19" s="124"/>
      <c r="G19" s="124"/>
      <c r="H19" s="124"/>
      <c r="I19" s="124"/>
      <c r="J19" s="124"/>
      <c r="K19" s="127" t="s">
        <v>136</v>
      </c>
      <c r="L19" s="128">
        <f>J16/(L7-L11)</f>
        <v>15382787.47544121</v>
      </c>
    </row>
    <row r="20" spans="1:12" ht="20" customHeight="1" x14ac:dyDescent="0.2">
      <c r="C20" s="104"/>
      <c r="D20" s="104"/>
      <c r="E20" s="104"/>
      <c r="F20" s="105"/>
      <c r="G20" s="105"/>
      <c r="H20" s="105"/>
      <c r="I20" s="105"/>
      <c r="J20" s="105"/>
      <c r="K20" s="127" t="s">
        <v>137</v>
      </c>
      <c r="L20" s="128">
        <f>L19/(1+L7)^6</f>
        <v>9640085.2889888398</v>
      </c>
    </row>
    <row r="21" spans="1:12" ht="20" customHeight="1" x14ac:dyDescent="0.2">
      <c r="C21" s="104"/>
      <c r="D21" s="104"/>
      <c r="E21" s="104"/>
      <c r="F21" s="105"/>
      <c r="G21" s="105"/>
      <c r="H21" s="105"/>
      <c r="I21" s="105"/>
      <c r="J21" s="105"/>
      <c r="K21" s="127" t="s">
        <v>138</v>
      </c>
      <c r="L21" s="128">
        <f>L18+L20</f>
        <v>11703027.551353231</v>
      </c>
    </row>
    <row r="22" spans="1:12" ht="20" customHeight="1" thickBot="1" x14ac:dyDescent="0.25">
      <c r="C22" s="104"/>
      <c r="D22" s="104"/>
      <c r="E22" s="104"/>
      <c r="F22" s="105"/>
      <c r="G22" s="105"/>
      <c r="H22" s="105"/>
      <c r="I22" s="105"/>
      <c r="J22" s="105"/>
      <c r="K22" s="127" t="s">
        <v>95</v>
      </c>
      <c r="L22" s="154">
        <v>188000000</v>
      </c>
    </row>
    <row r="23" spans="1:12" ht="20" customHeight="1" thickBot="1" x14ac:dyDescent="0.25">
      <c r="C23" s="104"/>
      <c r="D23" s="104"/>
      <c r="E23" s="104"/>
      <c r="F23" s="105"/>
      <c r="G23" s="105"/>
      <c r="H23" s="105"/>
      <c r="I23" s="105"/>
      <c r="J23" s="105"/>
      <c r="K23" s="129" t="s">
        <v>134</v>
      </c>
      <c r="L23" s="153">
        <f>L21/(L22/1000)</f>
        <v>62.250146549751229</v>
      </c>
    </row>
    <row r="24" spans="1:12" ht="20" customHeight="1" x14ac:dyDescent="0.2">
      <c r="C24" s="104"/>
      <c r="D24" s="104"/>
      <c r="E24" s="104"/>
      <c r="F24" s="105"/>
      <c r="G24" s="105"/>
      <c r="H24" s="105"/>
      <c r="I24" s="105"/>
      <c r="J24" s="105"/>
      <c r="K24" s="120"/>
      <c r="L24" s="121"/>
    </row>
    <row r="25" spans="1:12" ht="20" customHeight="1" x14ac:dyDescent="0.2">
      <c r="C25" s="104"/>
      <c r="D25" s="133"/>
      <c r="E25" s="134"/>
      <c r="F25" s="105"/>
      <c r="G25" s="105"/>
      <c r="H25" s="105"/>
      <c r="I25" s="105"/>
      <c r="J25" s="105"/>
      <c r="K25" s="120"/>
      <c r="L25" s="121"/>
    </row>
    <row r="26" spans="1:12" ht="20" customHeight="1" x14ac:dyDescent="0.2">
      <c r="C26" s="104"/>
      <c r="D26" s="104"/>
      <c r="E26" s="104"/>
      <c r="F26" s="105"/>
      <c r="G26" s="105"/>
      <c r="H26" s="105"/>
      <c r="I26" s="105"/>
      <c r="J26" s="105"/>
      <c r="K26" s="120"/>
      <c r="L26" s="121"/>
    </row>
    <row r="27" spans="1:12" ht="20" customHeight="1" x14ac:dyDescent="0.2">
      <c r="C27" s="104"/>
      <c r="D27" s="104"/>
      <c r="E27" s="104"/>
      <c r="F27" s="105"/>
      <c r="G27" s="105"/>
      <c r="H27" s="105"/>
      <c r="I27" s="105"/>
      <c r="J27" s="105"/>
      <c r="K27" s="120"/>
      <c r="L27" s="121"/>
    </row>
    <row r="28" spans="1:12" ht="20" customHeight="1" x14ac:dyDescent="0.2">
      <c r="A28" s="122"/>
      <c r="B28" s="123"/>
      <c r="C28" s="104"/>
      <c r="D28" s="104"/>
      <c r="E28" s="104"/>
      <c r="F28" s="105"/>
      <c r="G28" s="105"/>
      <c r="H28" s="105"/>
      <c r="I28" s="105"/>
      <c r="J28" s="105"/>
      <c r="K28" s="120"/>
      <c r="L28" s="121"/>
    </row>
    <row r="29" spans="1:12" ht="20" customHeight="1" x14ac:dyDescent="0.2">
      <c r="A29" s="122"/>
      <c r="B29" s="123"/>
      <c r="C29" s="104"/>
      <c r="D29" s="104"/>
      <c r="E29" s="104"/>
      <c r="F29" s="105"/>
      <c r="G29" s="105"/>
      <c r="H29" s="105"/>
      <c r="I29" s="105"/>
      <c r="J29" s="105"/>
      <c r="K29" s="120"/>
      <c r="L29" s="121"/>
    </row>
    <row r="30" spans="1:12" ht="20" customHeight="1" x14ac:dyDescent="0.2">
      <c r="A30" s="143" t="s">
        <v>53</v>
      </c>
      <c r="B30" s="143"/>
      <c r="C30" s="143"/>
      <c r="D30" s="143"/>
      <c r="E30" s="143"/>
      <c r="F30" s="105"/>
      <c r="G30" s="105"/>
      <c r="H30" s="105"/>
      <c r="I30" s="105"/>
      <c r="J30" s="105"/>
      <c r="K30" s="120"/>
      <c r="L30" s="121"/>
    </row>
    <row r="31" spans="1:12" ht="20" customHeight="1" x14ac:dyDescent="0.2">
      <c r="A31" s="4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105"/>
      <c r="G31" s="105"/>
      <c r="H31" s="105"/>
      <c r="I31" s="105"/>
      <c r="J31" s="105"/>
      <c r="K31" s="120"/>
      <c r="L31" s="121"/>
    </row>
    <row r="32" spans="1:12" ht="20" customHeight="1" x14ac:dyDescent="0.2">
      <c r="A32" s="7" t="s">
        <v>1</v>
      </c>
      <c r="B32" s="8">
        <v>3963313</v>
      </c>
      <c r="C32" s="8">
        <v>4833338</v>
      </c>
      <c r="D32" s="8">
        <v>4989244</v>
      </c>
      <c r="E32" s="8">
        <v>5193185</v>
      </c>
      <c r="F32" s="105"/>
      <c r="G32" s="105"/>
      <c r="H32" s="105"/>
      <c r="I32" s="105"/>
      <c r="J32" s="105"/>
      <c r="K32" s="120"/>
      <c r="L32" s="121"/>
    </row>
    <row r="33" spans="1:12" ht="20" customHeight="1" x14ac:dyDescent="0.2">
      <c r="A33" s="7" t="s">
        <v>2</v>
      </c>
      <c r="B33" s="8">
        <v>2057766</v>
      </c>
      <c r="C33" s="8">
        <v>2584724</v>
      </c>
      <c r="D33" s="8">
        <v>2737830</v>
      </c>
      <c r="E33" s="8">
        <v>2852714</v>
      </c>
      <c r="F33" s="105"/>
      <c r="G33" s="105"/>
      <c r="H33" s="105"/>
      <c r="I33" s="105"/>
      <c r="J33" s="105"/>
      <c r="K33" s="120"/>
      <c r="L33" s="121"/>
    </row>
    <row r="34" spans="1:12" x14ac:dyDescent="0.2">
      <c r="A34" s="7" t="s">
        <v>3</v>
      </c>
      <c r="B34" s="8">
        <v>1905547</v>
      </c>
      <c r="C34" s="8">
        <v>2248614</v>
      </c>
      <c r="D34" s="8">
        <v>2251414</v>
      </c>
      <c r="E34" s="8">
        <v>2340471</v>
      </c>
      <c r="G34" s="105"/>
      <c r="J34" s="7"/>
      <c r="K34" s="7"/>
      <c r="L34" s="119"/>
    </row>
    <row r="35" spans="1:12" x14ac:dyDescent="0.2">
      <c r="A35" s="142" t="s">
        <v>4</v>
      </c>
      <c r="B35" s="142"/>
      <c r="C35" s="142"/>
      <c r="D35" s="142"/>
      <c r="E35" s="142"/>
      <c r="G35" s="105"/>
      <c r="H35" s="94"/>
      <c r="I35" s="94"/>
      <c r="J35" s="7"/>
      <c r="K35" s="7"/>
    </row>
    <row r="36" spans="1:12" x14ac:dyDescent="0.2">
      <c r="A36" s="7" t="s">
        <v>5</v>
      </c>
      <c r="B36" s="8">
        <v>0</v>
      </c>
      <c r="C36" s="8">
        <v>0</v>
      </c>
      <c r="D36" s="8">
        <v>0</v>
      </c>
      <c r="E36" s="8" t="s">
        <v>110</v>
      </c>
      <c r="G36" s="105"/>
      <c r="J36" s="7"/>
      <c r="K36" s="7"/>
    </row>
    <row r="37" spans="1:12" x14ac:dyDescent="0.2">
      <c r="A37" s="7" t="s">
        <v>6</v>
      </c>
      <c r="B37" s="8">
        <v>1497000</v>
      </c>
      <c r="C37" s="8">
        <v>1831143</v>
      </c>
      <c r="D37" s="8">
        <v>2099522</v>
      </c>
      <c r="E37" s="8">
        <v>2182339</v>
      </c>
      <c r="J37" s="7"/>
      <c r="K37" s="7"/>
    </row>
    <row r="38" spans="1:12" x14ac:dyDescent="0.2">
      <c r="A38" s="7" t="s">
        <v>7</v>
      </c>
      <c r="B38" s="8">
        <v>0</v>
      </c>
      <c r="C38" s="8">
        <v>0</v>
      </c>
      <c r="D38" s="8">
        <v>124049</v>
      </c>
      <c r="E38" s="8">
        <v>183149</v>
      </c>
      <c r="J38" s="7"/>
      <c r="K38" s="7"/>
    </row>
    <row r="39" spans="1:12" x14ac:dyDescent="0.2">
      <c r="A39" s="7" t="s">
        <v>8</v>
      </c>
      <c r="B39" s="8">
        <v>0</v>
      </c>
      <c r="C39" s="8">
        <v>0</v>
      </c>
      <c r="D39" s="8">
        <v>0</v>
      </c>
      <c r="E39" s="8">
        <v>0</v>
      </c>
      <c r="J39" s="7"/>
      <c r="K39" s="7"/>
    </row>
    <row r="40" spans="1:12" x14ac:dyDescent="0.2">
      <c r="A40" s="4" t="s">
        <v>9</v>
      </c>
      <c r="B40" s="10">
        <v>408547</v>
      </c>
      <c r="C40" s="10">
        <v>417471</v>
      </c>
      <c r="D40" s="10">
        <v>27843</v>
      </c>
      <c r="E40" s="10">
        <v>-25017</v>
      </c>
      <c r="J40" s="7"/>
      <c r="K40" s="7"/>
    </row>
    <row r="41" spans="1:12" x14ac:dyDescent="0.2">
      <c r="A41" s="7" t="s">
        <v>10</v>
      </c>
      <c r="B41" s="8">
        <v>-7234</v>
      </c>
      <c r="C41" s="8">
        <v>-2755</v>
      </c>
      <c r="D41" s="8">
        <v>-3614</v>
      </c>
      <c r="E41" s="8">
        <v>-9203</v>
      </c>
      <c r="J41" s="7"/>
      <c r="K41" s="7"/>
    </row>
    <row r="42" spans="1:12" x14ac:dyDescent="0.2">
      <c r="A42" s="68" t="s">
        <v>11</v>
      </c>
      <c r="B42" s="74">
        <v>401313</v>
      </c>
      <c r="C42" s="74">
        <v>414716</v>
      </c>
      <c r="D42" s="74">
        <v>24229</v>
      </c>
      <c r="E42" s="74">
        <v>-34220</v>
      </c>
      <c r="J42" s="7"/>
      <c r="K42" s="7"/>
    </row>
    <row r="43" spans="1:12" x14ac:dyDescent="0.2">
      <c r="A43" s="7" t="s">
        <v>12</v>
      </c>
      <c r="B43" s="8">
        <v>14628</v>
      </c>
      <c r="C43" s="8">
        <v>26434</v>
      </c>
      <c r="D43" s="8">
        <v>34538</v>
      </c>
      <c r="E43" s="8">
        <v>33568</v>
      </c>
      <c r="J43" s="7"/>
      <c r="K43" s="7"/>
    </row>
    <row r="44" spans="1:12" x14ac:dyDescent="0.2">
      <c r="A44" s="7" t="s">
        <v>13</v>
      </c>
      <c r="B44" s="8">
        <v>386685</v>
      </c>
      <c r="C44" s="8">
        <v>388282</v>
      </c>
      <c r="D44" s="8">
        <v>-10309</v>
      </c>
      <c r="E44" s="8">
        <v>-67788</v>
      </c>
      <c r="J44" s="7"/>
      <c r="K44" s="7"/>
    </row>
    <row r="45" spans="1:12" x14ac:dyDescent="0.2">
      <c r="A45" s="7" t="s">
        <v>14</v>
      </c>
      <c r="B45" s="8">
        <v>154112</v>
      </c>
      <c r="C45" s="8">
        <v>131303</v>
      </c>
      <c r="D45" s="8">
        <v>37951</v>
      </c>
      <c r="E45" s="8">
        <v>-20552</v>
      </c>
      <c r="J45" s="7"/>
      <c r="K45" s="7"/>
    </row>
    <row r="46" spans="1:12" x14ac:dyDescent="0.2">
      <c r="A46" s="7" t="s">
        <v>15</v>
      </c>
      <c r="B46" s="8">
        <v>0</v>
      </c>
      <c r="C46" s="8">
        <v>0</v>
      </c>
      <c r="D46" s="8">
        <v>0</v>
      </c>
      <c r="E46" s="8">
        <v>0</v>
      </c>
      <c r="J46" s="7"/>
      <c r="K46" s="7"/>
    </row>
    <row r="47" spans="1:12" x14ac:dyDescent="0.2">
      <c r="A47" s="7" t="s">
        <v>16</v>
      </c>
      <c r="B47" s="8">
        <v>0</v>
      </c>
      <c r="C47" s="8">
        <v>0</v>
      </c>
      <c r="D47" s="8">
        <v>0</v>
      </c>
      <c r="E47" s="8">
        <v>934</v>
      </c>
      <c r="J47" s="7"/>
      <c r="K47" s="7"/>
    </row>
    <row r="48" spans="1:12" x14ac:dyDescent="0.2">
      <c r="A48" s="7" t="s">
        <v>17</v>
      </c>
      <c r="B48" s="8">
        <v>232573</v>
      </c>
      <c r="C48" s="8">
        <v>256979</v>
      </c>
      <c r="D48" s="8">
        <v>-48260</v>
      </c>
      <c r="E48" s="8">
        <v>-46302</v>
      </c>
      <c r="J48" s="7"/>
      <c r="K48" s="7"/>
    </row>
    <row r="49" spans="1:11" x14ac:dyDescent="0.2">
      <c r="A49" s="4" t="s">
        <v>18</v>
      </c>
      <c r="B49" s="10">
        <v>232573</v>
      </c>
      <c r="C49" s="10">
        <v>256979</v>
      </c>
      <c r="D49" s="10">
        <v>-48260</v>
      </c>
      <c r="E49" s="10">
        <v>-46302</v>
      </c>
    </row>
    <row r="50" spans="1:11" x14ac:dyDescent="0.2">
      <c r="A50" s="4" t="s">
        <v>19</v>
      </c>
      <c r="B50" s="10">
        <v>232573</v>
      </c>
      <c r="C50" s="10">
        <v>197979</v>
      </c>
      <c r="D50" s="10">
        <v>-48260</v>
      </c>
      <c r="E50" s="10">
        <v>-46302</v>
      </c>
    </row>
    <row r="52" spans="1:11" x14ac:dyDescent="0.2">
      <c r="A52" s="143" t="s">
        <v>54</v>
      </c>
      <c r="B52" s="143"/>
      <c r="C52" s="143"/>
      <c r="D52" s="143"/>
      <c r="E52" s="143"/>
    </row>
    <row r="53" spans="1:11" x14ac:dyDescent="0.2">
      <c r="A53" s="4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42" t="s">
        <v>20</v>
      </c>
      <c r="B54" s="142"/>
      <c r="C54" s="142"/>
      <c r="D54" s="142"/>
      <c r="E54" s="142"/>
    </row>
    <row r="55" spans="1:11" x14ac:dyDescent="0.2">
      <c r="A55" s="7" t="s">
        <v>21</v>
      </c>
      <c r="B55" s="13">
        <v>129852</v>
      </c>
      <c r="C55" s="13">
        <v>250470</v>
      </c>
      <c r="D55" s="13">
        <v>312483</v>
      </c>
      <c r="E55" s="13">
        <v>557403</v>
      </c>
    </row>
    <row r="56" spans="1:11" x14ac:dyDescent="0.2">
      <c r="A56" s="7" t="s">
        <v>22</v>
      </c>
      <c r="B56" s="13">
        <v>0</v>
      </c>
      <c r="C56" s="13">
        <v>0</v>
      </c>
      <c r="D56" s="13">
        <v>0</v>
      </c>
      <c r="E56" s="13">
        <v>0</v>
      </c>
    </row>
    <row r="57" spans="1:11" x14ac:dyDescent="0.2">
      <c r="A57" s="7" t="s">
        <v>23</v>
      </c>
      <c r="B57" s="13">
        <v>433638</v>
      </c>
      <c r="C57" s="13">
        <v>622685</v>
      </c>
      <c r="D57" s="13">
        <v>609670</v>
      </c>
      <c r="E57" s="13">
        <v>652546</v>
      </c>
    </row>
    <row r="58" spans="1:11" x14ac:dyDescent="0.2">
      <c r="A58" s="7" t="s">
        <v>24</v>
      </c>
      <c r="B58" s="13">
        <v>783031</v>
      </c>
      <c r="C58" s="13">
        <v>917491</v>
      </c>
      <c r="D58" s="13">
        <v>1158548</v>
      </c>
      <c r="E58" s="13">
        <v>1019496</v>
      </c>
    </row>
    <row r="59" spans="1:11" x14ac:dyDescent="0.2">
      <c r="A59" s="7" t="s">
        <v>25</v>
      </c>
      <c r="B59" s="13">
        <v>152242</v>
      </c>
      <c r="C59" s="13">
        <v>174507</v>
      </c>
      <c r="D59" s="13">
        <v>256978</v>
      </c>
      <c r="E59" s="13">
        <v>364183</v>
      </c>
      <c r="I59" s="93"/>
      <c r="J59" s="93"/>
      <c r="K59" s="93"/>
    </row>
    <row r="60" spans="1:11" x14ac:dyDescent="0.2">
      <c r="A60" s="64" t="s">
        <v>26</v>
      </c>
      <c r="B60" s="65">
        <v>1498763</v>
      </c>
      <c r="C60" s="65">
        <v>1965153</v>
      </c>
      <c r="D60" s="65">
        <v>2337679</v>
      </c>
      <c r="E60" s="65">
        <v>2593628</v>
      </c>
      <c r="F60" s="78"/>
      <c r="H60" s="78"/>
      <c r="I60" s="78"/>
      <c r="J60" s="78"/>
      <c r="K60" s="78"/>
    </row>
    <row r="61" spans="1:11" x14ac:dyDescent="0.2">
      <c r="A61" s="142" t="s">
        <v>27</v>
      </c>
      <c r="B61" s="142"/>
      <c r="C61" s="142"/>
      <c r="D61" s="142"/>
      <c r="E61" s="142"/>
      <c r="F61" s="74"/>
      <c r="H61" s="74"/>
      <c r="I61" s="74"/>
      <c r="J61" s="74"/>
      <c r="K61" s="74"/>
    </row>
    <row r="62" spans="1:11" x14ac:dyDescent="0.2">
      <c r="A62" s="7" t="s">
        <v>28</v>
      </c>
      <c r="B62" s="13">
        <v>0</v>
      </c>
      <c r="C62" s="13">
        <v>0</v>
      </c>
      <c r="D62" s="13">
        <v>0</v>
      </c>
      <c r="E62" s="13">
        <v>0</v>
      </c>
    </row>
    <row r="63" spans="1:11" x14ac:dyDescent="0.2">
      <c r="A63" s="7" t="s">
        <v>29</v>
      </c>
      <c r="B63" s="13">
        <v>538531</v>
      </c>
      <c r="C63" s="13">
        <v>804211</v>
      </c>
      <c r="D63" s="13">
        <v>885774</v>
      </c>
      <c r="E63" s="13">
        <v>826868</v>
      </c>
      <c r="F63" s="84"/>
      <c r="G63" s="78"/>
      <c r="H63" s="84"/>
      <c r="I63" s="84"/>
      <c r="J63" s="84"/>
      <c r="K63" s="84"/>
    </row>
    <row r="64" spans="1:11" x14ac:dyDescent="0.2">
      <c r="A64" s="7" t="s">
        <v>30</v>
      </c>
      <c r="B64" s="13">
        <v>585181</v>
      </c>
      <c r="C64" s="13">
        <v>563591</v>
      </c>
      <c r="D64" s="13">
        <v>555674</v>
      </c>
      <c r="E64" s="13">
        <v>546494</v>
      </c>
      <c r="G64" s="74"/>
    </row>
    <row r="65" spans="1:11" x14ac:dyDescent="0.2">
      <c r="A65" s="7" t="s">
        <v>31</v>
      </c>
      <c r="B65" s="13">
        <v>75686</v>
      </c>
      <c r="C65" s="13">
        <v>64310</v>
      </c>
      <c r="D65" s="13">
        <v>46995</v>
      </c>
      <c r="E65" s="13">
        <v>41793</v>
      </c>
    </row>
    <row r="66" spans="1:11" x14ac:dyDescent="0.2">
      <c r="A66" s="7" t="s">
        <v>32</v>
      </c>
      <c r="B66" s="13">
        <v>75652</v>
      </c>
      <c r="C66" s="13">
        <v>110204</v>
      </c>
      <c r="D66" s="13">
        <v>97444</v>
      </c>
      <c r="E66" s="13">
        <v>123819</v>
      </c>
      <c r="F66" s="94"/>
      <c r="G66" s="84"/>
      <c r="H66" s="94"/>
      <c r="I66" s="94"/>
      <c r="J66" s="94"/>
      <c r="K66" s="94"/>
    </row>
    <row r="67" spans="1:11" x14ac:dyDescent="0.2">
      <c r="A67" s="4" t="s">
        <v>33</v>
      </c>
      <c r="B67" s="14">
        <v>92157</v>
      </c>
      <c r="C67" s="14">
        <v>136862</v>
      </c>
      <c r="D67" s="14">
        <v>82801</v>
      </c>
      <c r="E67" s="14">
        <v>112420</v>
      </c>
    </row>
    <row r="68" spans="1:11" x14ac:dyDescent="0.2">
      <c r="A68" s="7" t="s">
        <v>34</v>
      </c>
      <c r="B68" s="13">
        <v>2865970</v>
      </c>
      <c r="C68" s="13">
        <v>3644331</v>
      </c>
      <c r="D68" s="13">
        <v>4006367</v>
      </c>
      <c r="E68" s="13">
        <v>4245022</v>
      </c>
    </row>
    <row r="69" spans="1:11" x14ac:dyDescent="0.2">
      <c r="A69" s="142" t="s">
        <v>35</v>
      </c>
      <c r="B69" s="142"/>
      <c r="C69" s="142"/>
      <c r="D69" s="142"/>
      <c r="E69" s="142"/>
      <c r="F69" s="94"/>
      <c r="G69" s="94"/>
      <c r="H69" s="94"/>
      <c r="I69" s="94"/>
      <c r="J69" s="94"/>
      <c r="K69" s="94"/>
    </row>
    <row r="70" spans="1:11" x14ac:dyDescent="0.2">
      <c r="A70" s="7" t="s">
        <v>36</v>
      </c>
      <c r="B70" s="13">
        <v>393395</v>
      </c>
      <c r="C70" s="13">
        <v>618429</v>
      </c>
      <c r="D70" s="13">
        <v>857949</v>
      </c>
      <c r="E70" s="13">
        <v>901299</v>
      </c>
    </row>
    <row r="71" spans="1:11" s="68" customFormat="1" x14ac:dyDescent="0.2">
      <c r="A71" s="7" t="s">
        <v>37</v>
      </c>
      <c r="B71" s="13">
        <v>42000</v>
      </c>
      <c r="C71" s="13">
        <v>27000</v>
      </c>
      <c r="D71" s="13">
        <v>152000</v>
      </c>
      <c r="E71" s="13">
        <v>25000</v>
      </c>
      <c r="F71" s="84"/>
      <c r="H71" s="84"/>
      <c r="I71" s="84"/>
      <c r="J71" s="84"/>
      <c r="K71" s="84"/>
    </row>
    <row r="72" spans="1:11" x14ac:dyDescent="0.2">
      <c r="A72" s="7" t="s">
        <v>38</v>
      </c>
      <c r="B72" s="13">
        <v>43415</v>
      </c>
      <c r="C72" s="13">
        <v>40387</v>
      </c>
      <c r="D72" s="13">
        <v>50426</v>
      </c>
      <c r="E72" s="13">
        <v>389678</v>
      </c>
      <c r="F72" s="84"/>
      <c r="G72" s="94"/>
      <c r="H72" s="84"/>
      <c r="I72" s="84"/>
      <c r="J72" s="84"/>
      <c r="K72" s="84"/>
    </row>
    <row r="73" spans="1:11" x14ac:dyDescent="0.2">
      <c r="A73" s="68" t="s">
        <v>39</v>
      </c>
      <c r="B73" s="69">
        <v>478810</v>
      </c>
      <c r="C73" s="69">
        <v>685816</v>
      </c>
      <c r="D73" s="69">
        <v>1060375</v>
      </c>
      <c r="E73" s="69">
        <v>1315977</v>
      </c>
      <c r="F73" s="84"/>
      <c r="G73" s="84"/>
      <c r="H73" s="84"/>
      <c r="I73" s="84"/>
      <c r="J73" s="84"/>
      <c r="K73" s="84"/>
    </row>
    <row r="74" spans="1:11" x14ac:dyDescent="0.2">
      <c r="A74" s="7" t="s">
        <v>40</v>
      </c>
      <c r="B74" s="13">
        <v>624070</v>
      </c>
      <c r="C74" s="13">
        <v>790388</v>
      </c>
      <c r="D74" s="13">
        <v>765046</v>
      </c>
      <c r="E74" s="13">
        <v>703834</v>
      </c>
      <c r="G74" s="84"/>
    </row>
    <row r="75" spans="1:11" x14ac:dyDescent="0.2">
      <c r="A75" s="4" t="s">
        <v>41</v>
      </c>
      <c r="B75" s="14">
        <v>94868</v>
      </c>
      <c r="C75" s="14">
        <v>137227</v>
      </c>
      <c r="D75" s="14">
        <v>162304</v>
      </c>
      <c r="E75" s="14">
        <v>208340</v>
      </c>
      <c r="G75" s="84"/>
    </row>
    <row r="76" spans="1:11" x14ac:dyDescent="0.2">
      <c r="A76" s="7" t="s">
        <v>42</v>
      </c>
      <c r="B76" s="13">
        <v>0</v>
      </c>
      <c r="C76" s="13">
        <v>0</v>
      </c>
      <c r="D76" s="13">
        <v>0</v>
      </c>
      <c r="E76" s="13">
        <v>0</v>
      </c>
      <c r="G76" s="84"/>
    </row>
    <row r="77" spans="1:11" x14ac:dyDescent="0.2">
      <c r="A77" s="7" t="s">
        <v>43</v>
      </c>
      <c r="B77" s="13">
        <v>0</v>
      </c>
      <c r="C77" s="13">
        <v>0</v>
      </c>
      <c r="D77" s="13">
        <v>0</v>
      </c>
      <c r="E77" s="13">
        <v>0</v>
      </c>
    </row>
    <row r="78" spans="1:11" x14ac:dyDescent="0.2">
      <c r="A78" s="7" t="s">
        <v>15</v>
      </c>
      <c r="B78" s="13">
        <v>0</v>
      </c>
      <c r="C78" s="13">
        <v>0</v>
      </c>
      <c r="D78" s="13">
        <v>0</v>
      </c>
      <c r="E78" s="13">
        <v>0</v>
      </c>
    </row>
    <row r="79" spans="1:11" x14ac:dyDescent="0.2">
      <c r="A79" s="7" t="s">
        <v>44</v>
      </c>
      <c r="B79" s="13">
        <v>1197748</v>
      </c>
      <c r="C79" s="13">
        <v>1613431</v>
      </c>
      <c r="D79" s="13">
        <v>1987725</v>
      </c>
      <c r="E79" s="13">
        <v>2228151</v>
      </c>
    </row>
    <row r="80" spans="1:11" x14ac:dyDescent="0.2">
      <c r="A80" s="142" t="s">
        <v>45</v>
      </c>
      <c r="B80" s="142"/>
      <c r="C80" s="142"/>
      <c r="D80" s="142"/>
      <c r="E80" s="142"/>
    </row>
    <row r="81" spans="1:11" x14ac:dyDescent="0.2">
      <c r="A81" s="7" t="s">
        <v>46</v>
      </c>
      <c r="B81" s="13">
        <v>144</v>
      </c>
      <c r="C81" s="13">
        <v>145</v>
      </c>
      <c r="D81" s="13">
        <v>146</v>
      </c>
      <c r="E81" s="13">
        <v>148</v>
      </c>
      <c r="F81" s="7"/>
      <c r="H81" s="7"/>
      <c r="I81" s="7"/>
      <c r="J81" s="7"/>
      <c r="K81" s="7"/>
    </row>
    <row r="82" spans="1:11" x14ac:dyDescent="0.2">
      <c r="A82" s="7" t="s">
        <v>47</v>
      </c>
      <c r="B82" s="13">
        <v>636558</v>
      </c>
      <c r="C82" s="13">
        <v>823484</v>
      </c>
      <c r="D82" s="13">
        <v>872266</v>
      </c>
      <c r="E82" s="13">
        <v>916628</v>
      </c>
      <c r="F82" s="7"/>
      <c r="H82" s="7"/>
      <c r="I82" s="7"/>
      <c r="J82" s="7"/>
      <c r="K82" s="7"/>
    </row>
    <row r="83" spans="1:11" x14ac:dyDescent="0.2">
      <c r="A83" s="7" t="s">
        <v>48</v>
      </c>
      <c r="B83" s="13">
        <v>1076533</v>
      </c>
      <c r="C83" s="13">
        <v>1259414</v>
      </c>
      <c r="D83" s="13">
        <v>1184441</v>
      </c>
      <c r="E83" s="13">
        <v>1139082</v>
      </c>
      <c r="F83" s="7"/>
      <c r="H83" s="7"/>
      <c r="I83" s="7"/>
      <c r="J83" s="7"/>
      <c r="K83" s="7"/>
    </row>
    <row r="84" spans="1:11" x14ac:dyDescent="0.2">
      <c r="A84" s="7" t="s">
        <v>49</v>
      </c>
      <c r="B84" s="13">
        <v>0</v>
      </c>
      <c r="C84" s="13">
        <v>0</v>
      </c>
      <c r="D84" s="13">
        <v>0</v>
      </c>
      <c r="E84" s="13">
        <v>0</v>
      </c>
      <c r="F84" s="7"/>
      <c r="G84" s="7"/>
      <c r="H84" s="7"/>
      <c r="I84" s="7"/>
      <c r="J84" s="7"/>
      <c r="K84" s="7"/>
    </row>
    <row r="85" spans="1:11" x14ac:dyDescent="0.2">
      <c r="A85" s="7" t="s">
        <v>50</v>
      </c>
      <c r="B85" s="13">
        <v>-45013</v>
      </c>
      <c r="C85" s="13">
        <v>-52143</v>
      </c>
      <c r="D85" s="13">
        <v>-38211</v>
      </c>
      <c r="E85" s="13">
        <v>-38987</v>
      </c>
      <c r="F85" s="7"/>
      <c r="G85" s="7"/>
      <c r="H85" s="7"/>
      <c r="I85" s="7"/>
      <c r="J85" s="7"/>
      <c r="K85" s="7"/>
    </row>
    <row r="86" spans="1:11" x14ac:dyDescent="0.2">
      <c r="A86" s="7" t="s">
        <v>51</v>
      </c>
      <c r="B86" s="13">
        <v>1668222</v>
      </c>
      <c r="C86" s="13">
        <v>2030900</v>
      </c>
      <c r="D86" s="13">
        <v>2018642</v>
      </c>
      <c r="E86" s="13">
        <v>2016871</v>
      </c>
      <c r="F86" s="7"/>
      <c r="G86" s="7"/>
      <c r="H86" s="7"/>
      <c r="I86" s="7"/>
      <c r="J86" s="7"/>
      <c r="K86" s="7"/>
    </row>
    <row r="87" spans="1:11" x14ac:dyDescent="0.2">
      <c r="A87" s="4" t="s">
        <v>52</v>
      </c>
      <c r="B87" s="14">
        <v>2865970</v>
      </c>
      <c r="C87" s="14">
        <v>3644331</v>
      </c>
      <c r="D87" s="14">
        <v>4006367</v>
      </c>
      <c r="E87" s="14">
        <v>4245022</v>
      </c>
      <c r="F87" s="7"/>
      <c r="G87" s="7"/>
      <c r="H87" s="7"/>
      <c r="I87" s="7"/>
      <c r="J87" s="7"/>
      <c r="K87" s="7"/>
    </row>
    <row r="88" spans="1:11" x14ac:dyDescent="0.2">
      <c r="F88" s="7"/>
      <c r="G88" s="7"/>
      <c r="H88" s="7"/>
      <c r="I88" s="7"/>
      <c r="J88" s="7"/>
      <c r="K88" s="7"/>
    </row>
    <row r="89" spans="1:11" x14ac:dyDescent="0.2">
      <c r="A89" s="143" t="s">
        <v>55</v>
      </c>
      <c r="B89" s="143"/>
      <c r="C89" s="143"/>
      <c r="D89" s="143"/>
      <c r="E89" s="143"/>
      <c r="F89" s="7"/>
      <c r="G89" s="7"/>
      <c r="H89" s="7"/>
      <c r="I89" s="7"/>
      <c r="J89" s="7"/>
      <c r="K89" s="7"/>
    </row>
    <row r="90" spans="1:11" x14ac:dyDescent="0.2">
      <c r="A90" s="4" t="s">
        <v>0</v>
      </c>
      <c r="B90" s="5">
        <v>42369</v>
      </c>
      <c r="C90" s="5">
        <v>42735</v>
      </c>
      <c r="D90" s="5">
        <v>43100</v>
      </c>
      <c r="E90" s="5">
        <v>43465</v>
      </c>
      <c r="F90" s="7"/>
      <c r="G90" s="7"/>
      <c r="H90" s="7"/>
      <c r="I90" s="7"/>
      <c r="J90" s="7"/>
      <c r="K90" s="7"/>
    </row>
    <row r="91" spans="1:11" x14ac:dyDescent="0.2">
      <c r="A91" s="7" t="s">
        <v>18</v>
      </c>
      <c r="B91" s="10">
        <v>232573</v>
      </c>
      <c r="C91" s="10">
        <v>256979</v>
      </c>
      <c r="D91" s="10">
        <v>-48260</v>
      </c>
      <c r="E91" s="10">
        <v>-46302</v>
      </c>
      <c r="F91" s="7"/>
      <c r="G91" s="7"/>
      <c r="H91" s="7"/>
      <c r="I91" s="7"/>
      <c r="J91" s="7"/>
      <c r="K91" s="7"/>
    </row>
    <row r="92" spans="1:11" x14ac:dyDescent="0.2">
      <c r="A92" s="142" t="s">
        <v>56</v>
      </c>
      <c r="B92" s="142"/>
      <c r="C92" s="142"/>
      <c r="D92" s="142"/>
      <c r="E92" s="142"/>
      <c r="G92" s="7"/>
    </row>
    <row r="93" spans="1:11" x14ac:dyDescent="0.2">
      <c r="A93" s="7" t="s">
        <v>57</v>
      </c>
      <c r="B93" s="8">
        <v>100940</v>
      </c>
      <c r="C93" s="8">
        <v>144770</v>
      </c>
      <c r="D93" s="8">
        <v>174001</v>
      </c>
      <c r="E93" s="8">
        <v>182022</v>
      </c>
      <c r="F93" s="7"/>
      <c r="G93" s="7"/>
      <c r="H93" s="7"/>
      <c r="I93" s="7"/>
      <c r="J93" s="7"/>
      <c r="K93" s="7"/>
    </row>
    <row r="94" spans="1:11" x14ac:dyDescent="0.2">
      <c r="A94" s="7" t="s">
        <v>58</v>
      </c>
      <c r="B94" s="8">
        <v>176166</v>
      </c>
      <c r="C94" s="8">
        <v>132323</v>
      </c>
      <c r="D94" s="8">
        <v>248968</v>
      </c>
      <c r="E94" s="8">
        <v>-203587</v>
      </c>
      <c r="F94" s="7"/>
      <c r="G94" s="7"/>
      <c r="H94" s="7"/>
      <c r="I94" s="7"/>
      <c r="J94" s="7"/>
      <c r="K94" s="7"/>
    </row>
    <row r="95" spans="1:11" x14ac:dyDescent="0.2">
      <c r="A95" s="142" t="s">
        <v>59</v>
      </c>
      <c r="B95" s="142"/>
      <c r="C95" s="142"/>
      <c r="D95" s="142"/>
      <c r="E95" s="142"/>
      <c r="F95" s="7"/>
      <c r="H95" s="7"/>
      <c r="I95" s="7"/>
      <c r="J95" s="7"/>
      <c r="K95" s="7"/>
    </row>
    <row r="96" spans="1:11" x14ac:dyDescent="0.2">
      <c r="A96" s="7" t="s">
        <v>60</v>
      </c>
      <c r="B96" s="8">
        <v>-191876</v>
      </c>
      <c r="C96" s="8">
        <v>-249853</v>
      </c>
      <c r="D96" s="8">
        <v>-79106</v>
      </c>
      <c r="E96" s="8">
        <v>186834</v>
      </c>
      <c r="F96" s="7"/>
      <c r="G96" s="7"/>
      <c r="H96" s="7"/>
      <c r="I96" s="7"/>
      <c r="J96" s="7"/>
      <c r="K96" s="7"/>
    </row>
    <row r="97" spans="1:11" x14ac:dyDescent="0.2">
      <c r="A97" s="7" t="s">
        <v>61</v>
      </c>
      <c r="B97" s="8">
        <v>-278524</v>
      </c>
      <c r="C97" s="8">
        <v>-148055</v>
      </c>
      <c r="D97" s="8">
        <v>-222391</v>
      </c>
      <c r="E97" s="8">
        <v>109919</v>
      </c>
      <c r="G97" s="7"/>
    </row>
    <row r="98" spans="1:11" x14ac:dyDescent="0.2">
      <c r="A98" s="7" t="s">
        <v>62</v>
      </c>
      <c r="B98" s="8">
        <v>-76476</v>
      </c>
      <c r="C98" s="8">
        <v>-23029</v>
      </c>
      <c r="D98" s="8">
        <v>-52106</v>
      </c>
      <c r="E98" s="8">
        <v>-107855</v>
      </c>
      <c r="G98" s="7"/>
    </row>
    <row r="99" spans="1:11" x14ac:dyDescent="0.2">
      <c r="A99" s="7" t="s">
        <v>63</v>
      </c>
      <c r="B99" s="8">
        <v>51738</v>
      </c>
      <c r="C99" s="8">
        <v>253488</v>
      </c>
      <c r="D99" s="8">
        <v>216354</v>
      </c>
      <c r="E99" s="8">
        <v>507199</v>
      </c>
      <c r="G99" s="7"/>
    </row>
    <row r="100" spans="1:11" x14ac:dyDescent="0.2">
      <c r="A100" s="4" t="s">
        <v>64</v>
      </c>
      <c r="B100" s="10">
        <v>14541</v>
      </c>
      <c r="C100" s="10">
        <v>366623</v>
      </c>
      <c r="D100" s="10">
        <v>237460</v>
      </c>
      <c r="E100" s="10">
        <v>628230</v>
      </c>
    </row>
    <row r="101" spans="1:11" x14ac:dyDescent="0.2">
      <c r="A101" s="142" t="s">
        <v>65</v>
      </c>
      <c r="B101" s="142"/>
      <c r="C101" s="142"/>
      <c r="D101" s="142"/>
      <c r="E101" s="142"/>
    </row>
    <row r="102" spans="1:11" x14ac:dyDescent="0.2">
      <c r="A102" s="7" t="s">
        <v>66</v>
      </c>
      <c r="B102" s="8">
        <v>-298928</v>
      </c>
      <c r="C102" s="8">
        <v>-386746</v>
      </c>
      <c r="D102" s="8">
        <v>-281339</v>
      </c>
      <c r="E102" s="8">
        <v>-170385</v>
      </c>
    </row>
    <row r="103" spans="1:11" x14ac:dyDescent="0.2">
      <c r="A103" s="7" t="s">
        <v>67</v>
      </c>
      <c r="B103" s="8">
        <v>-6534</v>
      </c>
      <c r="C103" s="8">
        <v>6482</v>
      </c>
      <c r="D103" s="8">
        <v>0</v>
      </c>
      <c r="E103" s="8">
        <v>-39207</v>
      </c>
      <c r="J103" s="84"/>
      <c r="K103" s="84"/>
    </row>
    <row r="104" spans="1:11" x14ac:dyDescent="0.2">
      <c r="A104" s="7" t="s">
        <v>68</v>
      </c>
      <c r="B104" s="8">
        <v>-542013</v>
      </c>
      <c r="C104" s="8">
        <v>-875</v>
      </c>
      <c r="D104" s="8">
        <v>-1648</v>
      </c>
      <c r="E104" s="8">
        <v>6688</v>
      </c>
    </row>
    <row r="105" spans="1:11" x14ac:dyDescent="0.2">
      <c r="A105" s="4" t="s">
        <v>69</v>
      </c>
      <c r="B105" s="10">
        <v>-847475</v>
      </c>
      <c r="C105" s="10">
        <v>-381139</v>
      </c>
      <c r="D105" s="10">
        <v>-282987</v>
      </c>
      <c r="E105" s="10">
        <v>-202904</v>
      </c>
    </row>
    <row r="106" spans="1:11" x14ac:dyDescent="0.2">
      <c r="A106" s="142" t="s">
        <v>70</v>
      </c>
      <c r="B106" s="142"/>
      <c r="C106" s="142"/>
      <c r="D106" s="142"/>
      <c r="E106" s="142"/>
    </row>
    <row r="107" spans="1:11" x14ac:dyDescent="0.2">
      <c r="A107" s="7" t="s">
        <v>71</v>
      </c>
      <c r="B107" s="8">
        <v>10310</v>
      </c>
      <c r="C107" s="8">
        <v>15485</v>
      </c>
      <c r="D107" s="8">
        <v>11540</v>
      </c>
      <c r="E107" s="8">
        <v>2580</v>
      </c>
    </row>
    <row r="108" spans="1:11" x14ac:dyDescent="0.2">
      <c r="A108" s="7" t="s">
        <v>72</v>
      </c>
      <c r="B108" s="8">
        <v>384798</v>
      </c>
      <c r="C108" s="8">
        <v>156851</v>
      </c>
      <c r="D108" s="8">
        <v>98000</v>
      </c>
      <c r="E108" s="8">
        <v>-190000</v>
      </c>
    </row>
    <row r="109" spans="1:11" x14ac:dyDescent="0.2">
      <c r="A109" s="7" t="s">
        <v>73</v>
      </c>
      <c r="B109" s="8">
        <v>-12728</v>
      </c>
      <c r="C109" s="8">
        <v>-16603</v>
      </c>
      <c r="D109" s="8">
        <v>-2781</v>
      </c>
      <c r="E109" s="8">
        <v>-2437</v>
      </c>
    </row>
    <row r="110" spans="1:11" x14ac:dyDescent="0.2">
      <c r="A110" s="4" t="s">
        <v>74</v>
      </c>
      <c r="B110" s="10">
        <v>381433</v>
      </c>
      <c r="C110" s="10">
        <v>146114</v>
      </c>
      <c r="D110" s="10">
        <v>106759</v>
      </c>
      <c r="E110" s="10">
        <v>-189868</v>
      </c>
    </row>
    <row r="111" spans="1:11" x14ac:dyDescent="0.2">
      <c r="A111" s="7" t="s">
        <v>75</v>
      </c>
      <c r="B111" s="8">
        <v>-11822</v>
      </c>
      <c r="C111" s="8">
        <v>-8725</v>
      </c>
      <c r="D111" s="8">
        <v>4178</v>
      </c>
      <c r="E111" s="8">
        <v>12467</v>
      </c>
    </row>
    <row r="112" spans="1:11" x14ac:dyDescent="0.2">
      <c r="A112" s="4" t="s">
        <v>76</v>
      </c>
      <c r="B112" s="10">
        <v>-463323</v>
      </c>
      <c r="C112" s="10">
        <v>122873</v>
      </c>
      <c r="D112" s="10">
        <v>65410</v>
      </c>
      <c r="E112" s="10">
        <v>247925</v>
      </c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6" spans="1:11" x14ac:dyDescent="0.2">
      <c r="K116" s="7"/>
    </row>
    <row r="119" spans="1:11" x14ac:dyDescent="0.2">
      <c r="A119" s="91" t="s">
        <v>111</v>
      </c>
      <c r="B119" s="75">
        <v>0.3</v>
      </c>
      <c r="C119" s="75">
        <v>0.3</v>
      </c>
      <c r="D119" s="75">
        <v>0.3</v>
      </c>
      <c r="E119" s="75">
        <v>0.3</v>
      </c>
      <c r="H119" s="78"/>
      <c r="I119" s="78"/>
      <c r="J119" s="78"/>
      <c r="K119" s="7"/>
    </row>
    <row r="120" spans="1:11" x14ac:dyDescent="0.2">
      <c r="C120" s="77"/>
      <c r="D120" s="77"/>
      <c r="E120" s="77"/>
    </row>
    <row r="121" spans="1:11" x14ac:dyDescent="0.2">
      <c r="C121" s="77"/>
      <c r="D121" s="77"/>
      <c r="E121" s="77"/>
    </row>
    <row r="122" spans="1:11" x14ac:dyDescent="0.2">
      <c r="C122" s="77"/>
      <c r="D122" s="77"/>
      <c r="E122" s="77"/>
      <c r="G122" s="78"/>
    </row>
    <row r="123" spans="1:11" x14ac:dyDescent="0.2">
      <c r="B123" s="77"/>
      <c r="C123" s="77"/>
      <c r="D123" s="77"/>
      <c r="E123" s="77"/>
      <c r="K123" s="7"/>
    </row>
    <row r="124" spans="1:11" x14ac:dyDescent="0.2">
      <c r="B124" s="77"/>
      <c r="C124" s="77"/>
      <c r="D124" s="77"/>
      <c r="E124" s="77"/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K127" s="7"/>
    </row>
    <row r="128" spans="1:11" x14ac:dyDescent="0.2">
      <c r="B128" s="77"/>
      <c r="C128" s="77"/>
      <c r="D128" s="77"/>
      <c r="E128" s="77"/>
      <c r="K128" s="7"/>
    </row>
    <row r="132" spans="7:11" x14ac:dyDescent="0.2">
      <c r="H132" s="7"/>
      <c r="I132" s="7"/>
      <c r="J132" s="7"/>
      <c r="K132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H138" s="7"/>
      <c r="I138" s="7"/>
      <c r="J138" s="7"/>
      <c r="K138" s="7"/>
    </row>
    <row r="139" spans="7:11" x14ac:dyDescent="0.2">
      <c r="G139" s="74"/>
      <c r="H139" s="7"/>
      <c r="I139" s="7"/>
      <c r="J139" s="7"/>
      <c r="K139" s="7"/>
    </row>
    <row r="140" spans="7:11" x14ac:dyDescent="0.2">
      <c r="G140" s="74"/>
      <c r="H140" s="7"/>
      <c r="I140" s="7"/>
      <c r="J140" s="7"/>
      <c r="K140" s="7"/>
    </row>
    <row r="141" spans="7:11" x14ac:dyDescent="0.2">
      <c r="G141" s="74"/>
      <c r="H141" s="7"/>
      <c r="I141" s="7"/>
      <c r="J141" s="7"/>
      <c r="K141" s="7"/>
    </row>
    <row r="142" spans="7:11" x14ac:dyDescent="0.2">
      <c r="G142" s="79"/>
    </row>
    <row r="143" spans="7:11" x14ac:dyDescent="0.2">
      <c r="G143" s="74"/>
    </row>
    <row r="144" spans="7:11" x14ac:dyDescent="0.2">
      <c r="G144" s="79"/>
    </row>
    <row r="148" spans="6:11" x14ac:dyDescent="0.2">
      <c r="F148" s="80"/>
    </row>
    <row r="149" spans="6:11" x14ac:dyDescent="0.2">
      <c r="F149" s="81"/>
      <c r="H149" s="81"/>
      <c r="I149" s="81"/>
      <c r="J149" s="81"/>
      <c r="K149" s="81"/>
    </row>
    <row r="150" spans="6:11" x14ac:dyDescent="0.2">
      <c r="F150" s="81"/>
      <c r="H150" s="81"/>
      <c r="I150" s="81"/>
      <c r="J150" s="81"/>
      <c r="K150" s="81"/>
    </row>
    <row r="151" spans="6:11" x14ac:dyDescent="0.2">
      <c r="F151" s="95"/>
      <c r="H151" s="95"/>
      <c r="I151" s="95"/>
      <c r="J151" s="95"/>
      <c r="K151" s="95"/>
    </row>
    <row r="152" spans="6:11" x14ac:dyDescent="0.2">
      <c r="F152" s="81"/>
      <c r="G152" s="81"/>
      <c r="H152" s="81"/>
      <c r="I152" s="81"/>
      <c r="J152" s="81"/>
      <c r="K152" s="81"/>
    </row>
    <row r="153" spans="6:11" x14ac:dyDescent="0.2">
      <c r="F153" s="81"/>
      <c r="G153" s="81"/>
      <c r="H153" s="81"/>
      <c r="I153" s="81"/>
      <c r="J153" s="81"/>
      <c r="K153" s="81"/>
    </row>
    <row r="154" spans="6:11" x14ac:dyDescent="0.2">
      <c r="G154" s="95"/>
    </row>
    <row r="155" spans="6:11" x14ac:dyDescent="0.2">
      <c r="G155" s="81"/>
    </row>
    <row r="156" spans="6:11" x14ac:dyDescent="0.2">
      <c r="G156" s="81"/>
    </row>
    <row r="157" spans="6:11" x14ac:dyDescent="0.2">
      <c r="F157" s="81"/>
      <c r="H157" s="81"/>
      <c r="I157" s="81"/>
      <c r="J157" s="81"/>
      <c r="K157" s="81"/>
    </row>
    <row r="160" spans="6:11" x14ac:dyDescent="0.2">
      <c r="G160" s="81"/>
    </row>
  </sheetData>
  <sortState ref="A2:E4">
    <sortCondition descending="1" ref="B2"/>
  </sortState>
  <mergeCells count="16">
    <mergeCell ref="B2:E2"/>
    <mergeCell ref="F2:J2"/>
    <mergeCell ref="A1:L1"/>
    <mergeCell ref="A106:E106"/>
    <mergeCell ref="A101:E101"/>
    <mergeCell ref="A95:E95"/>
    <mergeCell ref="A92:E92"/>
    <mergeCell ref="A89:E89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I19" sqref="I19"/>
    </sheetView>
  </sheetViews>
  <sheetFormatPr baseColWidth="10" defaultRowHeight="16" x14ac:dyDescent="0.2"/>
  <cols>
    <col min="1" max="1" width="36.83203125" style="17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20" t="s">
        <v>0</v>
      </c>
      <c r="B1" s="15">
        <v>42369</v>
      </c>
      <c r="C1" s="15">
        <v>42735</v>
      </c>
      <c r="D1" s="15">
        <v>43100</v>
      </c>
      <c r="E1" s="15">
        <v>43465</v>
      </c>
      <c r="F1" s="21"/>
      <c r="G1" s="21"/>
      <c r="H1" s="22"/>
    </row>
    <row r="2" spans="1:8" s="11" customFormat="1" ht="21" customHeight="1" x14ac:dyDescent="0.2">
      <c r="A2" s="143" t="s">
        <v>77</v>
      </c>
      <c r="B2" s="143"/>
      <c r="C2" s="143"/>
      <c r="D2" s="143"/>
      <c r="E2" s="143"/>
      <c r="F2" s="23"/>
      <c r="G2" s="24"/>
      <c r="H2" s="25"/>
    </row>
    <row r="3" spans="1:8" ht="21" customHeight="1" x14ac:dyDescent="0.2">
      <c r="A3" s="20" t="s">
        <v>78</v>
      </c>
      <c r="B3" s="26">
        <f>'UAA BALANCE SHEET'!E9/'UAA BALANCE SHEET'!E22</f>
        <v>3.1301831624235081</v>
      </c>
      <c r="C3" s="26">
        <f>'UAA BALANCE SHEET'!D9/'UAA BALANCE SHEET'!D22</f>
        <v>2.8654230872420592</v>
      </c>
      <c r="D3" s="26">
        <f>'UAA BALANCE SHEET'!C9/'UAA BALANCE SHEET'!C22</f>
        <v>2.204577625839915</v>
      </c>
      <c r="E3" s="26">
        <f>'UAA BALANCE SHEET'!B9/'UAA BALANCE SHEET'!B22</f>
        <v>1.9708763906967979</v>
      </c>
    </row>
    <row r="4" spans="1:8" ht="21" customHeight="1" x14ac:dyDescent="0.2">
      <c r="A4" s="20" t="s">
        <v>79</v>
      </c>
      <c r="B4" s="28">
        <f>('UAA BALANCE SHEET'!E9-'UAA BALANCE SHEET'!E7)/'UAA BALANCE SHEET'!E22</f>
        <v>1.4948142269376161</v>
      </c>
      <c r="C4" s="28">
        <f>('UAA BALANCE SHEET'!D9-'UAA BALANCE SHEET'!D7)/'UAA BALANCE SHEET'!D22</f>
        <v>1.5276138206166086</v>
      </c>
      <c r="D4" s="28">
        <f>('UAA BALANCE SHEET'!C9-'UAA BALANCE SHEET'!C7)/'UAA BALANCE SHEET'!C22</f>
        <v>1.1119943416244253</v>
      </c>
      <c r="E4" s="28">
        <f>('UAA BALANCE SHEET'!B9-'UAA BALANCE SHEET'!B7)/'UAA BALANCE SHEET'!B22</f>
        <v>1.196169841874136</v>
      </c>
    </row>
    <row r="5" spans="1:8" s="11" customFormat="1" ht="21" customHeight="1" x14ac:dyDescent="0.2">
      <c r="A5" s="143" t="s">
        <v>80</v>
      </c>
      <c r="B5" s="143"/>
      <c r="C5" s="143"/>
      <c r="D5" s="143"/>
      <c r="E5" s="143"/>
      <c r="F5" s="27"/>
      <c r="G5" s="27"/>
      <c r="H5" s="25"/>
    </row>
    <row r="6" spans="1:8" ht="21" customHeight="1" x14ac:dyDescent="0.2">
      <c r="A6" s="29" t="s">
        <v>81</v>
      </c>
      <c r="B6" s="30">
        <f>'UAA INCOME STATEMENT'!E4/'UAA BALANCE SHEET'!E7</f>
        <v>2.6279495958652976</v>
      </c>
      <c r="C6" s="30">
        <f>'UAA INCOME STATEMENT'!D4/'UAA BALANCE SHEET'!D7</f>
        <v>2.8171655089804695</v>
      </c>
      <c r="D6" s="30">
        <f>'UAA INCOME STATEMENT'!C4/'UAA BALANCE SHEET'!C7</f>
        <v>2.363156295639024</v>
      </c>
      <c r="E6" s="30">
        <f>'UAA INCOME STATEMENT'!B4/'UAA BALANCE SHEET'!B7</f>
        <v>2.798161052127718</v>
      </c>
    </row>
    <row r="7" spans="1:8" ht="21" customHeight="1" x14ac:dyDescent="0.2">
      <c r="A7" s="20" t="s">
        <v>82</v>
      </c>
      <c r="B7" s="31">
        <f>'UAA BALANCE SHEET'!E6/('UAA INCOME STATEMENT'!E3/365)</f>
        <v>39.935748198539962</v>
      </c>
      <c r="C7" s="31">
        <f>'UAA BALANCE SHEET'!D6/('UAA INCOME STATEMENT'!D3/365)</f>
        <v>47.023408046364644</v>
      </c>
      <c r="D7" s="31">
        <f>'UAA BALANCE SHEET'!C6/('UAA INCOME STATEMENT'!C3/365)</f>
        <v>44.601857515888177</v>
      </c>
      <c r="E7" s="31">
        <f>'UAA BALANCE SHEET'!B6/('UAA INCOME STATEMENT'!B3/365)</f>
        <v>45.863817676435559</v>
      </c>
    </row>
    <row r="8" spans="1:8" s="11" customFormat="1" ht="21" customHeight="1" x14ac:dyDescent="0.2">
      <c r="A8" s="20" t="s">
        <v>83</v>
      </c>
      <c r="B8" s="31">
        <f>'UAA INCOME STATEMENT'!E3/'UAA BALANCE SHEET'!E17</f>
        <v>1.3828871202420123</v>
      </c>
      <c r="C8" s="31">
        <f>'UAA INCOME STATEMENT'!D3/'UAA BALANCE SHEET'!D17</f>
        <v>1.326262076633544</v>
      </c>
      <c r="D8" s="31">
        <f>'UAA INCOME STATEMENT'!C3/'UAA BALANCE SHEET'!C17</f>
        <v>1.245328747965426</v>
      </c>
      <c r="E8" s="31">
        <f>'UAA INCOME STATEMENT'!B3/'UAA BALANCE SHEET'!B17</f>
        <v>1.2233587953136638</v>
      </c>
    </row>
    <row r="9" spans="1:8" ht="21" customHeight="1" x14ac:dyDescent="0.2">
      <c r="A9" s="143" t="s">
        <v>84</v>
      </c>
      <c r="B9" s="143"/>
      <c r="C9" s="143"/>
      <c r="D9" s="143"/>
      <c r="E9" s="143"/>
      <c r="F9" s="27"/>
      <c r="G9" s="27"/>
      <c r="H9" s="25"/>
    </row>
    <row r="10" spans="1:8" ht="21" customHeight="1" x14ac:dyDescent="0.2">
      <c r="A10" s="29" t="s">
        <v>85</v>
      </c>
      <c r="B10" s="28">
        <f>'UAA BALANCE SHEET'!E28/'UAA BALANCE SHEET'!E17</f>
        <v>0.41792063420063713</v>
      </c>
      <c r="C10" s="28">
        <f>'UAA BALANCE SHEET'!D28/'UAA BALANCE SHEET'!D17</f>
        <v>0.44272350672866984</v>
      </c>
      <c r="D10" s="28">
        <f>'UAA BALANCE SHEET'!C28/'UAA BALANCE SHEET'!C17</f>
        <v>0.49614151674072793</v>
      </c>
      <c r="E10" s="28">
        <f>'UAA BALANCE SHEET'!B28/'UAA BALANCE SHEET'!B17</f>
        <v>0.52488561896734576</v>
      </c>
    </row>
    <row r="11" spans="1:8" ht="21" customHeight="1" x14ac:dyDescent="0.2">
      <c r="A11" s="20" t="s">
        <v>86</v>
      </c>
      <c r="B11" s="31">
        <f>'UAA INCOME STATEMENT'!E13/'UAA INCOME STATEMENT'!E14</f>
        <v>27.434577522559476</v>
      </c>
      <c r="C11" s="31">
        <f>'UAA INCOME STATEMENT'!D13/'UAA INCOME STATEMENT'!D14</f>
        <v>15.688734205946886</v>
      </c>
      <c r="D11" s="31">
        <f>'UAA INCOME STATEMENT'!C13/'UAA INCOME STATEMENT'!C14</f>
        <v>0.70151716949446985</v>
      </c>
      <c r="E11" s="31">
        <f>'UAA INCOME STATEMENT'!B13/'UAA INCOME STATEMENT'!B14</f>
        <v>-1.019423260247855</v>
      </c>
    </row>
    <row r="12" spans="1:8" s="11" customFormat="1" ht="21" customHeight="1" x14ac:dyDescent="0.2">
      <c r="A12" s="143" t="s">
        <v>87</v>
      </c>
      <c r="B12" s="143"/>
      <c r="C12" s="143"/>
      <c r="D12" s="143"/>
      <c r="E12" s="143"/>
      <c r="F12" s="27"/>
      <c r="G12" s="27"/>
      <c r="H12" s="25"/>
    </row>
    <row r="13" spans="1:8" ht="21" customHeight="1" x14ac:dyDescent="0.2">
      <c r="A13" s="29" t="s">
        <v>88</v>
      </c>
      <c r="B13" s="32">
        <f>'UAA INCOME STATEMENT'!E21/'UAA INCOME STATEMENT'!E3</f>
        <v>5.8681461696313157E-2</v>
      </c>
      <c r="C13" s="32">
        <f>'UAA INCOME STATEMENT'!D21/'UAA INCOME STATEMENT'!D3</f>
        <v>4.0961132865113097E-2</v>
      </c>
      <c r="D13" s="32">
        <f>'UAA INCOME STATEMENT'!C21/'UAA INCOME STATEMENT'!C3</f>
        <v>-9.6728081448812682E-3</v>
      </c>
      <c r="E13" s="32">
        <f>'UAA INCOME STATEMENT'!B21/'UAA INCOME STATEMENT'!B3</f>
        <v>-8.9159157626774316E-3</v>
      </c>
    </row>
    <row r="14" spans="1:8" ht="21" customHeight="1" x14ac:dyDescent="0.2">
      <c r="A14" s="20" t="s">
        <v>90</v>
      </c>
      <c r="B14" s="32">
        <f>'UAA INCOME STATEMENT'!E21/'UAA BALANCE SHEET'!E17</f>
        <v>8.1149837576806452E-2</v>
      </c>
      <c r="C14" s="32">
        <f>'UAA INCOME STATEMENT'!D21/'UAA BALANCE SHEET'!D17</f>
        <v>5.4325197134947399E-2</v>
      </c>
      <c r="D14" s="32">
        <f>'UAA INCOME STATEMENT'!C21/'UAA BALANCE SHEET'!C17</f>
        <v>-1.2045826056374765E-2</v>
      </c>
      <c r="E14" s="32">
        <f>'UAA INCOME STATEMENT'!B21/'UAA BALANCE SHEET'!B17</f>
        <v>-1.090736396654717E-2</v>
      </c>
    </row>
    <row r="15" spans="1:8" s="11" customFormat="1" ht="21" customHeight="1" x14ac:dyDescent="0.2">
      <c r="A15" s="29" t="s">
        <v>91</v>
      </c>
      <c r="B15" s="33">
        <f>'UAA INCOME STATEMENT'!E21/'UAA BALANCE SHEET'!E35</f>
        <v>0.13941369913596632</v>
      </c>
      <c r="C15" s="33">
        <f>'UAA INCOME STATEMENT'!D21/'UAA BALANCE SHEET'!D35</f>
        <v>9.7483381751932635E-2</v>
      </c>
      <c r="D15" s="33">
        <f>'UAA INCOME STATEMENT'!C21/'UAA BALANCE SHEET'!C35</f>
        <v>-2.3907161349065363E-2</v>
      </c>
      <c r="E15" s="33">
        <f>'UAA INCOME STATEMENT'!B21/'UAA BALANCE SHEET'!B35</f>
        <v>-2.2957343330336943E-2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workbookViewId="0">
      <selection activeCell="D14" sqref="D14"/>
    </sheetView>
  </sheetViews>
  <sheetFormatPr baseColWidth="10" defaultRowHeight="19" customHeight="1" x14ac:dyDescent="0.2"/>
  <cols>
    <col min="1" max="1" width="27" style="18" customWidth="1"/>
    <col min="2" max="5" width="16.83203125" style="18" customWidth="1"/>
    <col min="6" max="6" width="1.6640625" style="39" customWidth="1"/>
    <col min="7" max="7" width="14.1640625" style="18" customWidth="1"/>
    <col min="8" max="8" width="19.33203125" style="18" customWidth="1"/>
    <col min="9" max="9" width="12" style="18" customWidth="1"/>
    <col min="10" max="10" width="14.1640625" style="18" customWidth="1"/>
    <col min="11" max="11" width="13.6640625" style="18" customWidth="1"/>
    <col min="12" max="16384" width="10.83203125" style="18"/>
  </cols>
  <sheetData>
    <row r="1" spans="1:8" ht="22" customHeight="1" x14ac:dyDescent="0.2">
      <c r="A1" s="150" t="s">
        <v>92</v>
      </c>
      <c r="B1" s="150"/>
      <c r="C1" s="150"/>
      <c r="D1" s="150"/>
      <c r="E1" s="150"/>
      <c r="F1" s="150"/>
      <c r="G1" s="150"/>
      <c r="H1" s="150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40">
        <v>42369</v>
      </c>
      <c r="F2" s="43"/>
      <c r="G2" s="44" t="s">
        <v>98</v>
      </c>
      <c r="H2" s="44" t="s">
        <v>107</v>
      </c>
    </row>
    <row r="3" spans="1:8" ht="19" customHeight="1" x14ac:dyDescent="0.2">
      <c r="A3" s="45"/>
      <c r="B3" s="45"/>
      <c r="C3" s="45"/>
      <c r="D3" s="45"/>
      <c r="E3" s="45"/>
      <c r="F3" s="38"/>
      <c r="G3" s="45"/>
      <c r="H3" s="45"/>
    </row>
    <row r="4" spans="1:8" ht="19" customHeight="1" x14ac:dyDescent="0.2">
      <c r="A4" s="19" t="s">
        <v>100</v>
      </c>
      <c r="B4" s="46">
        <f>B17/B15</f>
        <v>11.576883903765061</v>
      </c>
      <c r="C4" s="46">
        <f>C17/C15</f>
        <v>11.257068482660733</v>
      </c>
      <c r="D4" s="46">
        <f>D17/D15</f>
        <v>11.005716761589156</v>
      </c>
      <c r="E4" s="46">
        <f>E17/E15</f>
        <v>9.1702401170203309</v>
      </c>
      <c r="F4" s="38"/>
      <c r="G4" s="45"/>
      <c r="H4" s="45"/>
    </row>
    <row r="5" spans="1:8" ht="19" customHeight="1" x14ac:dyDescent="0.2">
      <c r="A5" s="19" t="s">
        <v>101</v>
      </c>
      <c r="B5" s="47">
        <f>B13/B4</f>
        <v>1.526317457001821</v>
      </c>
      <c r="C5" s="47">
        <f>C13/C4</f>
        <v>1.2818612609691888</v>
      </c>
      <c r="D5" s="47">
        <f>D13/D4</f>
        <v>2.6395373085910094</v>
      </c>
      <c r="E5" s="47">
        <f>E13/E4</f>
        <v>4.3957409495944431</v>
      </c>
      <c r="F5" s="38"/>
      <c r="G5" s="48">
        <f>AVERAGE(B5:E5)</f>
        <v>2.4608642440391155</v>
      </c>
      <c r="H5" s="49">
        <f>G5*B4</f>
        <v>28.489139656167414</v>
      </c>
    </row>
    <row r="6" spans="1:8" ht="19" customHeight="1" x14ac:dyDescent="0.2">
      <c r="A6" s="19"/>
      <c r="B6" s="50"/>
      <c r="C6" s="50"/>
      <c r="D6" s="50"/>
      <c r="E6" s="50"/>
      <c r="F6" s="38"/>
      <c r="G6" s="45"/>
      <c r="H6" s="45"/>
    </row>
    <row r="7" spans="1:8" ht="19" customHeight="1" x14ac:dyDescent="0.2">
      <c r="A7" s="19" t="s">
        <v>102</v>
      </c>
      <c r="B7" s="46">
        <f>B20/B15</f>
        <v>4.8122787872393049</v>
      </c>
      <c r="C7" s="46">
        <f>C20/C15</f>
        <v>4.6710195283865819</v>
      </c>
      <c r="D7" s="46">
        <f>D20/D15</f>
        <v>4.7802344134294872</v>
      </c>
      <c r="E7" s="46">
        <f>E20/E15</f>
        <v>4.1754662089155481</v>
      </c>
      <c r="F7" s="38"/>
      <c r="G7" s="45"/>
      <c r="H7" s="45"/>
    </row>
    <row r="8" spans="1:8" ht="19" customHeight="1" x14ac:dyDescent="0.2">
      <c r="A8" s="19" t="s">
        <v>103</v>
      </c>
      <c r="B8" s="47">
        <f>B13/B7</f>
        <v>3.6718570933287262</v>
      </c>
      <c r="C8" s="47">
        <f>C13/C7</f>
        <v>3.0892613298459639</v>
      </c>
      <c r="D8" s="47">
        <f>D13/D7</f>
        <v>6.0771078335379451</v>
      </c>
      <c r="E8" s="47">
        <f>E13/E7</f>
        <v>9.654011787696712</v>
      </c>
      <c r="F8" s="38"/>
      <c r="G8" s="48">
        <f>AVERAGE(B8:E8)</f>
        <v>5.6230595111023369</v>
      </c>
      <c r="H8" s="49">
        <f>G8*B7</f>
        <v>27.059730004661994</v>
      </c>
    </row>
    <row r="9" spans="1:8" ht="19" customHeight="1" x14ac:dyDescent="0.2">
      <c r="A9" s="19"/>
      <c r="B9" s="50"/>
      <c r="C9" s="50"/>
      <c r="D9" s="50"/>
      <c r="E9" s="50"/>
      <c r="F9" s="38"/>
      <c r="G9" s="45"/>
      <c r="H9" s="45"/>
    </row>
    <row r="10" spans="1:8" ht="19" customHeight="1" x14ac:dyDescent="0.2">
      <c r="A10" s="19" t="s">
        <v>104</v>
      </c>
      <c r="B10" s="46">
        <f>B19/B15</f>
        <v>5.2174842696974819</v>
      </c>
      <c r="C10" s="46">
        <f>C19/C15</f>
        <v>5.0640389290956378</v>
      </c>
      <c r="D10" s="46">
        <f>D19/D15</f>
        <v>5.1104286104282997</v>
      </c>
      <c r="E10" s="46">
        <f>E19/E15</f>
        <v>4.4090193089134617</v>
      </c>
      <c r="F10" s="38"/>
      <c r="G10" s="45"/>
      <c r="H10" s="45"/>
    </row>
    <row r="11" spans="1:8" ht="19" customHeight="1" x14ac:dyDescent="0.2">
      <c r="A11" s="19" t="s">
        <v>105</v>
      </c>
      <c r="B11" s="47">
        <f>B13/B10</f>
        <v>3.3866896547489804</v>
      </c>
      <c r="C11" s="47">
        <f>C13/C10</f>
        <v>2.8495041610150071</v>
      </c>
      <c r="D11" s="47">
        <f>D13/D10</f>
        <v>5.684454713000159</v>
      </c>
      <c r="E11" s="47">
        <f>E13/E10</f>
        <v>9.1426226958243486</v>
      </c>
      <c r="F11" s="38"/>
      <c r="G11" s="48">
        <f>AVERAGE(B11:E11)</f>
        <v>5.2658178061471244</v>
      </c>
      <c r="H11" s="49">
        <f>G11*B10</f>
        <v>27.474321570665527</v>
      </c>
    </row>
    <row r="12" spans="1:8" ht="19" customHeight="1" x14ac:dyDescent="0.2">
      <c r="A12" s="19"/>
      <c r="B12" s="50"/>
      <c r="C12" s="50"/>
      <c r="D12" s="50"/>
      <c r="E12" s="51"/>
      <c r="F12" s="38"/>
      <c r="G12" s="34"/>
      <c r="H12" s="34"/>
    </row>
    <row r="13" spans="1:8" ht="19" customHeight="1" x14ac:dyDescent="0.2">
      <c r="A13" s="19" t="s">
        <v>93</v>
      </c>
      <c r="B13" s="41">
        <v>17.670000000000002</v>
      </c>
      <c r="C13" s="41">
        <v>14.43</v>
      </c>
      <c r="D13" s="41">
        <v>29.05</v>
      </c>
      <c r="E13" s="41">
        <v>40.31</v>
      </c>
      <c r="F13" s="38"/>
      <c r="G13" s="34"/>
      <c r="H13" s="34"/>
    </row>
    <row r="14" spans="1:8" ht="19" customHeight="1" x14ac:dyDescent="0.2">
      <c r="A14" s="19" t="s">
        <v>94</v>
      </c>
      <c r="B14" s="41">
        <v>181768</v>
      </c>
      <c r="C14" s="41">
        <v>173747</v>
      </c>
      <c r="D14" s="41">
        <v>144770</v>
      </c>
      <c r="E14" s="41">
        <v>100940</v>
      </c>
      <c r="F14" s="52"/>
      <c r="G14" s="34"/>
      <c r="H14" s="34"/>
    </row>
    <row r="15" spans="1:8" ht="19" customHeight="1" x14ac:dyDescent="0.2">
      <c r="A15" s="19" t="s">
        <v>95</v>
      </c>
      <c r="B15" s="42">
        <v>448582.28200000001</v>
      </c>
      <c r="C15" s="42">
        <v>442082.50199999998</v>
      </c>
      <c r="D15" s="42">
        <v>438438.95899999997</v>
      </c>
      <c r="E15" s="42">
        <v>432192.93599999999</v>
      </c>
      <c r="F15" s="38"/>
    </row>
    <row r="16" spans="1:8" ht="24" customHeight="1" x14ac:dyDescent="0.2">
      <c r="A16" s="19"/>
      <c r="B16" s="53"/>
      <c r="C16" s="53"/>
      <c r="D16" s="53"/>
      <c r="E16" s="53"/>
      <c r="F16" s="38"/>
      <c r="G16" s="148" t="s">
        <v>99</v>
      </c>
      <c r="H16" s="149"/>
    </row>
    <row r="17" spans="1:8" ht="24" customHeight="1" x14ac:dyDescent="0.2">
      <c r="A17" s="19" t="s">
        <v>96</v>
      </c>
      <c r="B17" s="41">
        <v>5193185</v>
      </c>
      <c r="C17" s="41">
        <v>4976553</v>
      </c>
      <c r="D17" s="41">
        <v>4825335</v>
      </c>
      <c r="E17" s="41">
        <v>3963313</v>
      </c>
      <c r="F17" s="38"/>
      <c r="G17" s="54" t="s">
        <v>108</v>
      </c>
      <c r="H17" s="54" t="s">
        <v>109</v>
      </c>
    </row>
    <row r="18" spans="1:8" ht="23" customHeight="1" x14ac:dyDescent="0.2">
      <c r="A18" s="19" t="s">
        <v>106</v>
      </c>
      <c r="B18" s="41">
        <v>2852714</v>
      </c>
      <c r="C18" s="41">
        <v>2737830</v>
      </c>
      <c r="D18" s="41">
        <v>2584724</v>
      </c>
      <c r="E18" s="41">
        <v>2057766</v>
      </c>
      <c r="F18" s="38"/>
      <c r="G18" s="55">
        <f>MIN(H5:H11)</f>
        <v>27.059730004661994</v>
      </c>
      <c r="H18" s="55">
        <f>MAX(H5:H11)</f>
        <v>28.489139656167414</v>
      </c>
    </row>
    <row r="19" spans="1:8" ht="19" customHeight="1" x14ac:dyDescent="0.2">
      <c r="A19" s="19" t="s">
        <v>18</v>
      </c>
      <c r="B19" s="41">
        <f>B17-B18</f>
        <v>2340471</v>
      </c>
      <c r="C19" s="41">
        <f t="shared" ref="C19:E19" si="0">C17-C18</f>
        <v>2238723</v>
      </c>
      <c r="D19" s="41">
        <f t="shared" si="0"/>
        <v>2240611</v>
      </c>
      <c r="E19" s="41">
        <f t="shared" si="0"/>
        <v>1905547</v>
      </c>
      <c r="F19" s="52"/>
      <c r="G19" s="34"/>
      <c r="H19" s="34"/>
    </row>
    <row r="20" spans="1:8" ht="19" customHeight="1" x14ac:dyDescent="0.2">
      <c r="A20" s="19" t="s">
        <v>97</v>
      </c>
      <c r="B20" s="41">
        <f>B19-B14</f>
        <v>2158703</v>
      </c>
      <c r="C20" s="41">
        <f>C19-C14</f>
        <v>2064976</v>
      </c>
      <c r="D20" s="41">
        <f>D19-D14</f>
        <v>2095841</v>
      </c>
      <c r="E20" s="41">
        <f>E19-E14</f>
        <v>1804607</v>
      </c>
      <c r="F20" s="52"/>
      <c r="G20" s="34"/>
      <c r="H20" s="34"/>
    </row>
    <row r="21" spans="1:8" ht="19" customHeight="1" x14ac:dyDescent="0.2">
      <c r="F21" s="36"/>
      <c r="G21" s="35"/>
      <c r="H21" s="35"/>
    </row>
    <row r="22" spans="1:8" ht="19" customHeight="1" x14ac:dyDescent="0.2">
      <c r="F22" s="37"/>
      <c r="G22" s="35"/>
      <c r="H22" s="35"/>
    </row>
    <row r="23" spans="1:8" ht="19" customHeight="1" x14ac:dyDescent="0.2">
      <c r="G23" s="34"/>
      <c r="H23" s="34"/>
    </row>
  </sheetData>
  <mergeCells count="2">
    <mergeCell ref="G16:H16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E23"/>
  <sheetViews>
    <sheetView workbookViewId="0">
      <selection activeCell="C15" sqref="C15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5" ht="18" customHeight="1" x14ac:dyDescent="0.2">
      <c r="A1" s="143" t="s">
        <v>53</v>
      </c>
      <c r="B1" s="143"/>
      <c r="C1" s="143"/>
      <c r="D1" s="143"/>
      <c r="E1" s="143"/>
    </row>
    <row r="2" spans="1:5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s="9" customFormat="1" ht="20" customHeight="1" x14ac:dyDescent="0.2">
      <c r="A3" s="7" t="s">
        <v>1</v>
      </c>
      <c r="B3" s="8">
        <v>5193185</v>
      </c>
      <c r="C3" s="8">
        <v>4989244</v>
      </c>
      <c r="D3" s="8">
        <v>4833338</v>
      </c>
      <c r="E3" s="8">
        <v>3963313</v>
      </c>
    </row>
    <row r="4" spans="1:5" s="9" customFormat="1" ht="20" customHeight="1" x14ac:dyDescent="0.2">
      <c r="A4" s="7" t="s">
        <v>2</v>
      </c>
      <c r="B4" s="8">
        <v>2852714</v>
      </c>
      <c r="C4" s="8">
        <v>2737830</v>
      </c>
      <c r="D4" s="8">
        <v>2584724</v>
      </c>
      <c r="E4" s="8">
        <v>2057766</v>
      </c>
    </row>
    <row r="5" spans="1:5" s="9" customFormat="1" ht="20" customHeight="1" x14ac:dyDescent="0.2">
      <c r="A5" s="7" t="s">
        <v>3</v>
      </c>
      <c r="B5" s="8">
        <v>2340471</v>
      </c>
      <c r="C5" s="8">
        <v>2251414</v>
      </c>
      <c r="D5" s="8">
        <v>2248614</v>
      </c>
      <c r="E5" s="8">
        <v>1905547</v>
      </c>
    </row>
    <row r="6" spans="1:5" s="9" customFormat="1" ht="20" customHeight="1" x14ac:dyDescent="0.2">
      <c r="A6" s="142" t="s">
        <v>4</v>
      </c>
      <c r="B6" s="142"/>
      <c r="C6" s="142"/>
      <c r="D6" s="142"/>
      <c r="E6" s="142"/>
    </row>
    <row r="7" spans="1:5" s="9" customFormat="1" ht="20" customHeight="1" x14ac:dyDescent="0.2">
      <c r="A7" s="7" t="s">
        <v>5</v>
      </c>
      <c r="B7" s="8">
        <v>0</v>
      </c>
      <c r="C7" s="8">
        <v>0</v>
      </c>
      <c r="D7" s="8">
        <v>0</v>
      </c>
      <c r="E7" s="8">
        <v>0</v>
      </c>
    </row>
    <row r="8" spans="1:5" s="9" customFormat="1" ht="20" customHeight="1" x14ac:dyDescent="0.2">
      <c r="A8" s="7" t="s">
        <v>6</v>
      </c>
      <c r="B8" s="8">
        <v>2182339</v>
      </c>
      <c r="C8" s="8">
        <v>2099522</v>
      </c>
      <c r="D8" s="8">
        <v>1831143</v>
      </c>
      <c r="E8" s="8">
        <v>1497000</v>
      </c>
    </row>
    <row r="9" spans="1:5" s="9" customFormat="1" ht="20" customHeight="1" x14ac:dyDescent="0.2">
      <c r="A9" s="7" t="s">
        <v>7</v>
      </c>
      <c r="B9" s="8">
        <v>183149</v>
      </c>
      <c r="C9" s="8">
        <v>124049</v>
      </c>
      <c r="D9" s="8">
        <v>0</v>
      </c>
      <c r="E9" s="8">
        <v>0</v>
      </c>
    </row>
    <row r="10" spans="1:5" s="9" customFormat="1" ht="20" customHeight="1" x14ac:dyDescent="0.2">
      <c r="A10" s="7" t="s">
        <v>8</v>
      </c>
      <c r="B10" s="8">
        <v>0</v>
      </c>
      <c r="C10" s="8">
        <v>0</v>
      </c>
      <c r="D10" s="8">
        <v>0</v>
      </c>
      <c r="E10" s="8">
        <v>0</v>
      </c>
    </row>
    <row r="11" spans="1:5" s="9" customFormat="1" ht="20" customHeight="1" x14ac:dyDescent="0.2">
      <c r="A11" s="4" t="s">
        <v>9</v>
      </c>
      <c r="B11" s="10">
        <v>-25017</v>
      </c>
      <c r="C11" s="10">
        <v>27843</v>
      </c>
      <c r="D11" s="10">
        <v>417471</v>
      </c>
      <c r="E11" s="10">
        <v>408547</v>
      </c>
    </row>
    <row r="12" spans="1:5" s="9" customFormat="1" ht="20" customHeight="1" x14ac:dyDescent="0.2">
      <c r="A12" s="7" t="s">
        <v>10</v>
      </c>
      <c r="B12" s="8">
        <v>-9203</v>
      </c>
      <c r="C12" s="8">
        <v>-3614</v>
      </c>
      <c r="D12" s="8">
        <v>-2755</v>
      </c>
      <c r="E12" s="8">
        <v>-7234</v>
      </c>
    </row>
    <row r="13" spans="1:5" s="9" customFormat="1" ht="20" customHeight="1" x14ac:dyDescent="0.2">
      <c r="A13" s="7" t="s">
        <v>11</v>
      </c>
      <c r="B13" s="8">
        <v>-34220</v>
      </c>
      <c r="C13" s="8">
        <v>24229</v>
      </c>
      <c r="D13" s="8">
        <v>414716</v>
      </c>
      <c r="E13" s="8">
        <v>401313</v>
      </c>
    </row>
    <row r="14" spans="1:5" s="9" customFormat="1" ht="20" customHeight="1" x14ac:dyDescent="0.2">
      <c r="A14" s="7" t="s">
        <v>12</v>
      </c>
      <c r="B14" s="8">
        <v>33568</v>
      </c>
      <c r="C14" s="8">
        <v>34538</v>
      </c>
      <c r="D14" s="8">
        <v>26434</v>
      </c>
      <c r="E14" s="8">
        <v>14628</v>
      </c>
    </row>
    <row r="15" spans="1:5" s="9" customFormat="1" ht="20" customHeight="1" x14ac:dyDescent="0.2">
      <c r="A15" s="7" t="s">
        <v>13</v>
      </c>
      <c r="B15" s="8">
        <v>-67788</v>
      </c>
      <c r="C15" s="8">
        <v>-10309</v>
      </c>
      <c r="D15" s="8">
        <v>388282</v>
      </c>
      <c r="E15" s="8">
        <v>386685</v>
      </c>
    </row>
    <row r="16" spans="1:5" s="9" customFormat="1" ht="20" customHeight="1" x14ac:dyDescent="0.2">
      <c r="A16" s="7" t="s">
        <v>14</v>
      </c>
      <c r="B16" s="8">
        <v>-20552</v>
      </c>
      <c r="C16" s="8">
        <v>37951</v>
      </c>
      <c r="D16" s="8">
        <v>131303</v>
      </c>
      <c r="E16" s="8">
        <v>154112</v>
      </c>
    </row>
    <row r="17" spans="1:5" s="9" customFormat="1" ht="20" customHeight="1" x14ac:dyDescent="0.2">
      <c r="A17" s="7" t="s">
        <v>15</v>
      </c>
      <c r="B17" s="8">
        <v>0</v>
      </c>
      <c r="C17" s="8">
        <v>0</v>
      </c>
      <c r="D17" s="8">
        <v>0</v>
      </c>
      <c r="E17" s="8">
        <v>0</v>
      </c>
    </row>
    <row r="18" spans="1:5" s="9" customFormat="1" ht="20" customHeight="1" x14ac:dyDescent="0.2">
      <c r="A18" s="7" t="s">
        <v>16</v>
      </c>
      <c r="B18" s="8">
        <v>934</v>
      </c>
      <c r="C18" s="8">
        <v>0</v>
      </c>
      <c r="D18" s="8">
        <v>0</v>
      </c>
      <c r="E18" s="8">
        <v>0</v>
      </c>
    </row>
    <row r="19" spans="1:5" s="9" customFormat="1" ht="20" customHeight="1" x14ac:dyDescent="0.2">
      <c r="A19" s="7" t="s">
        <v>17</v>
      </c>
      <c r="B19" s="8">
        <v>-46302</v>
      </c>
      <c r="C19" s="8">
        <v>-48260</v>
      </c>
      <c r="D19" s="8">
        <v>256979</v>
      </c>
      <c r="E19" s="8">
        <v>232573</v>
      </c>
    </row>
    <row r="20" spans="1:5" s="9" customFormat="1" ht="20" customHeight="1" x14ac:dyDescent="0.2">
      <c r="A20" s="4" t="s">
        <v>18</v>
      </c>
      <c r="B20" s="10">
        <v>-46302</v>
      </c>
      <c r="C20" s="10">
        <v>-48260</v>
      </c>
      <c r="D20" s="10">
        <v>256979</v>
      </c>
      <c r="E20" s="10">
        <v>232573</v>
      </c>
    </row>
    <row r="21" spans="1:5" s="9" customFormat="1" ht="20" customHeight="1" x14ac:dyDescent="0.2">
      <c r="A21" s="4" t="s">
        <v>19</v>
      </c>
      <c r="B21" s="10">
        <v>-46302</v>
      </c>
      <c r="C21" s="10">
        <v>-48260</v>
      </c>
      <c r="D21" s="10">
        <v>197979</v>
      </c>
      <c r="E21" s="10">
        <v>232573</v>
      </c>
    </row>
    <row r="22" spans="1:5" ht="18" customHeight="1" x14ac:dyDescent="0.2">
      <c r="A22" s="3"/>
      <c r="B22" s="1"/>
      <c r="C22" s="1"/>
      <c r="D22" s="1"/>
      <c r="E22" s="1"/>
    </row>
    <row r="23" spans="1:5" ht="18" customHeight="1" x14ac:dyDescent="0.2">
      <c r="A23" s="3"/>
      <c r="B23" s="1"/>
      <c r="C23" s="1"/>
      <c r="D23" s="1"/>
      <c r="E23" s="1"/>
    </row>
  </sheetData>
  <mergeCells count="2">
    <mergeCell ref="A6:E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topLeftCell="A2" zoomScale="113" workbookViewId="0">
      <selection activeCell="C21" sqref="C21"/>
    </sheetView>
  </sheetViews>
  <sheetFormatPr baseColWidth="10" defaultRowHeight="21" customHeight="1" x14ac:dyDescent="0.2"/>
  <cols>
    <col min="1" max="1" width="38.1640625" style="9" customWidth="1"/>
    <col min="2" max="5" width="14.1640625" style="12" customWidth="1"/>
    <col min="6" max="6" width="10.83203125" style="12"/>
    <col min="7" max="7" width="15.6640625" style="12" customWidth="1"/>
    <col min="8" max="8" width="13.1640625" style="12" customWidth="1"/>
    <col min="9" max="9" width="12.83203125" style="12" customWidth="1"/>
    <col min="10" max="10" width="13.5" style="12" customWidth="1"/>
    <col min="11" max="11" width="14" style="12" customWidth="1"/>
    <col min="12" max="16384" width="10.83203125" style="12"/>
  </cols>
  <sheetData>
    <row r="1" spans="1:51" ht="21" customHeight="1" x14ac:dyDescent="0.2">
      <c r="A1" s="143" t="s">
        <v>54</v>
      </c>
      <c r="B1" s="143"/>
      <c r="C1" s="143"/>
      <c r="D1" s="143"/>
      <c r="E1" s="143"/>
    </row>
    <row r="2" spans="1:51" ht="21" customHeight="1" x14ac:dyDescent="0.2">
      <c r="A2" s="4" t="s">
        <v>0</v>
      </c>
      <c r="B2" s="15">
        <v>43465</v>
      </c>
      <c r="C2" s="15">
        <v>43100</v>
      </c>
      <c r="D2" s="15">
        <v>42735</v>
      </c>
      <c r="E2" s="15">
        <v>42369</v>
      </c>
      <c r="G2" s="4"/>
      <c r="H2" s="15"/>
      <c r="I2" s="15"/>
      <c r="J2" s="15"/>
      <c r="K2" s="15"/>
    </row>
    <row r="3" spans="1:51" ht="21" customHeight="1" x14ac:dyDescent="0.2">
      <c r="A3" s="142" t="s">
        <v>20</v>
      </c>
      <c r="B3" s="142"/>
      <c r="C3" s="142"/>
      <c r="D3" s="142"/>
      <c r="E3" s="142"/>
      <c r="H3" s="57"/>
      <c r="I3" s="57"/>
      <c r="J3" s="57"/>
      <c r="K3" s="57"/>
    </row>
    <row r="4" spans="1:51" ht="21" customHeight="1" x14ac:dyDescent="0.2">
      <c r="A4" s="7" t="s">
        <v>21</v>
      </c>
      <c r="B4" s="13">
        <v>557403</v>
      </c>
      <c r="C4" s="13">
        <v>312483</v>
      </c>
      <c r="D4" s="13">
        <v>250470</v>
      </c>
      <c r="E4" s="13">
        <v>129852</v>
      </c>
      <c r="H4" s="57"/>
      <c r="I4" s="57"/>
      <c r="J4" s="57"/>
      <c r="K4" s="57"/>
    </row>
    <row r="5" spans="1:51" ht="21" customHeight="1" x14ac:dyDescent="0.2">
      <c r="A5" s="7" t="s">
        <v>22</v>
      </c>
      <c r="B5" s="13">
        <v>0</v>
      </c>
      <c r="C5" s="13">
        <v>0</v>
      </c>
      <c r="D5" s="13">
        <v>0</v>
      </c>
      <c r="E5" s="13">
        <v>0</v>
      </c>
      <c r="H5" s="57"/>
      <c r="I5" s="57"/>
      <c r="J5" s="57"/>
      <c r="K5" s="57"/>
    </row>
    <row r="6" spans="1:51" ht="21" customHeight="1" x14ac:dyDescent="0.2">
      <c r="A6" s="7" t="s">
        <v>23</v>
      </c>
      <c r="B6" s="13">
        <v>652546</v>
      </c>
      <c r="C6" s="13">
        <v>609670</v>
      </c>
      <c r="D6" s="13">
        <v>622685</v>
      </c>
      <c r="E6" s="13">
        <v>433638</v>
      </c>
      <c r="H6" s="57"/>
      <c r="I6" s="57"/>
      <c r="J6" s="57"/>
      <c r="K6" s="57"/>
    </row>
    <row r="7" spans="1:51" ht="21" customHeight="1" x14ac:dyDescent="0.2">
      <c r="A7" s="7" t="s">
        <v>24</v>
      </c>
      <c r="B7" s="13">
        <v>1019496</v>
      </c>
      <c r="C7" s="13">
        <v>1158548</v>
      </c>
      <c r="D7" s="13">
        <v>917491</v>
      </c>
      <c r="E7" s="13">
        <v>783031</v>
      </c>
      <c r="H7" s="57"/>
      <c r="I7" s="57"/>
      <c r="J7" s="57"/>
      <c r="K7" s="57"/>
    </row>
    <row r="8" spans="1:51" ht="21" customHeight="1" x14ac:dyDescent="0.2">
      <c r="A8" s="7" t="s">
        <v>25</v>
      </c>
      <c r="B8" s="13">
        <v>364183</v>
      </c>
      <c r="C8" s="13">
        <v>256978</v>
      </c>
      <c r="D8" s="13">
        <v>174507</v>
      </c>
      <c r="E8" s="13">
        <v>152242</v>
      </c>
      <c r="H8" s="57"/>
      <c r="I8" s="57"/>
      <c r="J8" s="57"/>
      <c r="K8" s="57"/>
    </row>
    <row r="9" spans="1:51" s="66" customFormat="1" ht="21" customHeight="1" x14ac:dyDescent="0.2">
      <c r="A9" s="64" t="s">
        <v>26</v>
      </c>
      <c r="B9" s="65">
        <v>2593628</v>
      </c>
      <c r="C9" s="65">
        <v>2337679</v>
      </c>
      <c r="D9" s="65">
        <v>1965153</v>
      </c>
      <c r="E9" s="65">
        <v>1498763</v>
      </c>
      <c r="G9" s="67"/>
      <c r="H9" s="67"/>
      <c r="I9" s="67"/>
    </row>
    <row r="10" spans="1:51" ht="21" customHeight="1" x14ac:dyDescent="0.2">
      <c r="A10" s="142" t="s">
        <v>27</v>
      </c>
      <c r="B10" s="142"/>
      <c r="C10" s="142"/>
      <c r="D10" s="142"/>
      <c r="E10" s="142"/>
      <c r="H10" s="58"/>
      <c r="I10" s="58"/>
    </row>
    <row r="11" spans="1:51" ht="21" customHeight="1" x14ac:dyDescent="0.2">
      <c r="A11" s="7" t="s">
        <v>28</v>
      </c>
      <c r="B11" s="13">
        <v>0</v>
      </c>
      <c r="C11" s="13">
        <v>0</v>
      </c>
      <c r="D11" s="13">
        <v>0</v>
      </c>
      <c r="E11" s="13">
        <v>0</v>
      </c>
      <c r="H11" s="57"/>
      <c r="I11" s="57"/>
      <c r="J11" s="57"/>
      <c r="K11" s="57"/>
      <c r="L11" s="57"/>
    </row>
    <row r="12" spans="1:51" ht="21" customHeight="1" x14ac:dyDescent="0.25">
      <c r="A12" s="7" t="s">
        <v>29</v>
      </c>
      <c r="B12" s="13">
        <v>826868</v>
      </c>
      <c r="C12" s="13">
        <v>885774</v>
      </c>
      <c r="D12" s="13">
        <v>804211</v>
      </c>
      <c r="E12" s="13">
        <v>538531</v>
      </c>
      <c r="G12" s="151"/>
      <c r="H12" s="152"/>
      <c r="I12" s="152"/>
      <c r="J12" s="152"/>
      <c r="K12" s="152"/>
      <c r="L12" s="152"/>
      <c r="M12" s="62"/>
      <c r="N12" s="62"/>
      <c r="O12" s="62"/>
      <c r="P12" s="62"/>
      <c r="Q12" s="62"/>
    </row>
    <row r="13" spans="1:51" ht="21" customHeight="1" x14ac:dyDescent="0.25">
      <c r="A13" s="7" t="s">
        <v>30</v>
      </c>
      <c r="B13" s="13">
        <v>546494</v>
      </c>
      <c r="C13" s="13">
        <v>555674</v>
      </c>
      <c r="D13" s="13">
        <v>563591</v>
      </c>
      <c r="E13" s="13">
        <v>585181</v>
      </c>
      <c r="G13" s="151"/>
      <c r="H13" s="152"/>
      <c r="I13" s="152"/>
      <c r="J13" s="152"/>
      <c r="K13" s="152"/>
      <c r="L13" s="152"/>
      <c r="M13" s="62"/>
      <c r="N13" s="62"/>
      <c r="O13" s="62"/>
      <c r="P13" s="62"/>
      <c r="Q13" s="62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</row>
    <row r="14" spans="1:51" ht="21" customHeight="1" x14ac:dyDescent="0.25">
      <c r="A14" s="7" t="s">
        <v>31</v>
      </c>
      <c r="B14" s="13">
        <v>41793</v>
      </c>
      <c r="C14" s="13">
        <v>46995</v>
      </c>
      <c r="D14" s="13">
        <v>64310</v>
      </c>
      <c r="E14" s="13">
        <v>75686</v>
      </c>
      <c r="G14" s="151"/>
      <c r="H14" s="152"/>
      <c r="I14" s="152"/>
      <c r="J14" s="152"/>
      <c r="K14" s="152"/>
      <c r="L14" s="152"/>
      <c r="M14" s="62"/>
      <c r="N14" s="62"/>
      <c r="O14" s="62"/>
      <c r="P14" s="62"/>
      <c r="Q14" s="62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</row>
    <row r="15" spans="1:51" ht="21" customHeight="1" x14ac:dyDescent="0.25">
      <c r="A15" s="7" t="s">
        <v>32</v>
      </c>
      <c r="B15" s="13">
        <v>123819</v>
      </c>
      <c r="C15" s="13">
        <v>97444</v>
      </c>
      <c r="D15" s="13">
        <v>110204</v>
      </c>
      <c r="E15" s="13">
        <v>75652</v>
      </c>
      <c r="G15" s="151"/>
      <c r="H15" s="152"/>
      <c r="I15" s="152"/>
      <c r="J15" s="152"/>
      <c r="K15" s="152"/>
      <c r="L15" s="152"/>
      <c r="M15" s="62"/>
      <c r="N15" s="62"/>
      <c r="O15" s="62"/>
      <c r="P15" s="62"/>
      <c r="Q15" s="62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</row>
    <row r="16" spans="1:51" ht="21" customHeight="1" x14ac:dyDescent="0.25">
      <c r="A16" s="4" t="s">
        <v>33</v>
      </c>
      <c r="B16" s="14">
        <v>112420</v>
      </c>
      <c r="C16" s="14">
        <v>82801</v>
      </c>
      <c r="D16" s="14">
        <v>136862</v>
      </c>
      <c r="E16" s="14">
        <v>92157</v>
      </c>
      <c r="G16" s="151"/>
      <c r="H16" s="152"/>
      <c r="I16" s="152"/>
      <c r="J16" s="152"/>
      <c r="K16" s="152"/>
      <c r="L16" s="152"/>
      <c r="M16" s="62"/>
      <c r="N16" s="62"/>
      <c r="O16" s="62"/>
      <c r="P16" s="62"/>
      <c r="Q16" s="62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</row>
    <row r="17" spans="1:51" ht="21" customHeight="1" x14ac:dyDescent="0.25">
      <c r="A17" s="7" t="s">
        <v>34</v>
      </c>
      <c r="B17" s="13">
        <v>4245022</v>
      </c>
      <c r="C17" s="13">
        <v>4006367</v>
      </c>
      <c r="D17" s="13">
        <v>3644331</v>
      </c>
      <c r="E17" s="13">
        <v>2865970</v>
      </c>
      <c r="G17" s="151"/>
      <c r="H17" s="152"/>
      <c r="I17" s="152"/>
      <c r="J17" s="152"/>
      <c r="K17" s="152"/>
      <c r="L17" s="152"/>
      <c r="M17" s="62"/>
      <c r="N17" s="62"/>
      <c r="O17" s="62"/>
      <c r="P17" s="62"/>
      <c r="Q17" s="62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</row>
    <row r="18" spans="1:51" ht="21" customHeight="1" x14ac:dyDescent="0.25">
      <c r="A18" s="142" t="s">
        <v>35</v>
      </c>
      <c r="B18" s="142"/>
      <c r="C18" s="142"/>
      <c r="D18" s="142"/>
      <c r="E18" s="142"/>
      <c r="G18" s="151"/>
      <c r="H18" s="152"/>
      <c r="I18" s="152"/>
      <c r="J18" s="152"/>
      <c r="K18" s="152"/>
      <c r="L18" s="152"/>
      <c r="M18" s="62"/>
      <c r="N18" s="62"/>
      <c r="O18" s="62"/>
      <c r="P18" s="62"/>
      <c r="Q18" s="62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</row>
    <row r="19" spans="1:51" ht="21" customHeight="1" x14ac:dyDescent="0.25">
      <c r="A19" s="7" t="s">
        <v>36</v>
      </c>
      <c r="B19" s="13">
        <v>901299</v>
      </c>
      <c r="C19" s="13">
        <v>857949</v>
      </c>
      <c r="D19" s="13">
        <v>618429</v>
      </c>
      <c r="E19" s="13">
        <v>393395</v>
      </c>
      <c r="G19" s="151"/>
      <c r="H19" s="152"/>
      <c r="I19" s="152"/>
      <c r="J19" s="152"/>
      <c r="K19" s="152"/>
      <c r="L19" s="152"/>
      <c r="M19" s="62"/>
      <c r="N19" s="62"/>
      <c r="O19" s="62"/>
      <c r="P19" s="62"/>
      <c r="Q19" s="62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</row>
    <row r="20" spans="1:51" ht="21" customHeight="1" x14ac:dyDescent="0.25">
      <c r="A20" s="7" t="s">
        <v>37</v>
      </c>
      <c r="B20" s="13">
        <v>25000</v>
      </c>
      <c r="C20" s="13">
        <v>152000</v>
      </c>
      <c r="D20" s="13">
        <v>27000</v>
      </c>
      <c r="E20" s="13">
        <v>42000</v>
      </c>
      <c r="G20" s="151"/>
      <c r="H20" s="152"/>
      <c r="I20" s="152"/>
      <c r="J20" s="151"/>
      <c r="K20" s="151"/>
      <c r="L20" s="152"/>
      <c r="M20" s="62"/>
      <c r="N20" s="62"/>
      <c r="O20" s="62"/>
      <c r="P20" s="62"/>
      <c r="Q20" s="62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</row>
    <row r="21" spans="1:51" ht="21" customHeight="1" x14ac:dyDescent="0.25">
      <c r="A21" s="7" t="s">
        <v>38</v>
      </c>
      <c r="B21" s="13">
        <v>389678</v>
      </c>
      <c r="C21" s="13">
        <v>50426</v>
      </c>
      <c r="D21" s="13">
        <v>40387</v>
      </c>
      <c r="E21" s="13">
        <v>43415</v>
      </c>
      <c r="G21" s="151"/>
      <c r="H21" s="152"/>
      <c r="I21" s="152"/>
      <c r="J21" s="151"/>
      <c r="K21" s="151"/>
      <c r="L21" s="152"/>
      <c r="M21" s="62"/>
      <c r="N21" s="62"/>
      <c r="O21" s="62"/>
      <c r="P21" s="62"/>
      <c r="Q21" s="62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</row>
    <row r="22" spans="1:51" s="66" customFormat="1" ht="21" customHeight="1" x14ac:dyDescent="0.25">
      <c r="A22" s="68" t="s">
        <v>39</v>
      </c>
      <c r="B22" s="69">
        <v>1315977</v>
      </c>
      <c r="C22" s="69">
        <v>1060375</v>
      </c>
      <c r="D22" s="69">
        <v>685816</v>
      </c>
      <c r="E22" s="69">
        <v>478810</v>
      </c>
      <c r="G22" s="70"/>
      <c r="H22" s="71"/>
      <c r="I22" s="71"/>
      <c r="J22" s="71"/>
      <c r="K22" s="71"/>
      <c r="L22" s="71"/>
      <c r="M22" s="72"/>
      <c r="N22" s="72"/>
      <c r="O22" s="72"/>
      <c r="P22" s="72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</row>
    <row r="23" spans="1:51" ht="21" customHeight="1" x14ac:dyDescent="0.2">
      <c r="A23" s="7" t="s">
        <v>40</v>
      </c>
      <c r="B23" s="13">
        <v>703834</v>
      </c>
      <c r="C23" s="13">
        <v>765046</v>
      </c>
      <c r="D23" s="13">
        <v>790388</v>
      </c>
      <c r="E23" s="13">
        <v>624070</v>
      </c>
      <c r="G23" s="60"/>
      <c r="H23" s="61"/>
      <c r="I23" s="61"/>
      <c r="J23" s="61"/>
      <c r="K23" s="61"/>
      <c r="L23" s="61"/>
      <c r="M23"/>
      <c r="N23"/>
      <c r="O23"/>
      <c r="P23"/>
      <c r="Q23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</row>
    <row r="24" spans="1:51" ht="21" customHeight="1" x14ac:dyDescent="0.2">
      <c r="A24" s="4" t="s">
        <v>41</v>
      </c>
      <c r="B24" s="14">
        <v>208340</v>
      </c>
      <c r="C24" s="14">
        <v>162304</v>
      </c>
      <c r="D24" s="14">
        <v>137227</v>
      </c>
      <c r="E24" s="14">
        <v>94868</v>
      </c>
      <c r="H24" s="63"/>
      <c r="I24" s="63"/>
      <c r="J24" s="63"/>
      <c r="K24" s="63"/>
      <c r="L24" s="63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</row>
    <row r="25" spans="1:51" ht="21" customHeight="1" x14ac:dyDescent="0.2">
      <c r="A25" s="7" t="s">
        <v>42</v>
      </c>
      <c r="B25" s="13">
        <v>0</v>
      </c>
      <c r="C25" s="13">
        <v>0</v>
      </c>
      <c r="D25" s="13">
        <v>0</v>
      </c>
      <c r="E25" s="13">
        <v>0</v>
      </c>
    </row>
    <row r="26" spans="1:51" ht="21" customHeight="1" x14ac:dyDescent="0.2">
      <c r="A26" s="7" t="s">
        <v>43</v>
      </c>
      <c r="B26" s="13">
        <v>0</v>
      </c>
      <c r="C26" s="13">
        <v>0</v>
      </c>
      <c r="D26" s="13">
        <v>0</v>
      </c>
      <c r="E26" s="13">
        <v>0</v>
      </c>
    </row>
    <row r="27" spans="1:51" ht="21" customHeight="1" x14ac:dyDescent="0.2">
      <c r="A27" s="7" t="s">
        <v>15</v>
      </c>
      <c r="B27" s="13">
        <v>0</v>
      </c>
      <c r="C27" s="13">
        <v>0</v>
      </c>
      <c r="D27" s="13">
        <v>0</v>
      </c>
      <c r="E27" s="13">
        <v>0</v>
      </c>
    </row>
    <row r="28" spans="1:51" ht="21" customHeight="1" x14ac:dyDescent="0.2">
      <c r="A28" s="7" t="s">
        <v>44</v>
      </c>
      <c r="B28" s="13">
        <v>2228151</v>
      </c>
      <c r="C28" s="13">
        <v>1987725</v>
      </c>
      <c r="D28" s="13">
        <v>1613431</v>
      </c>
      <c r="E28" s="13">
        <v>1197748</v>
      </c>
    </row>
    <row r="29" spans="1:51" ht="21" customHeight="1" x14ac:dyDescent="0.2">
      <c r="A29" s="142" t="s">
        <v>45</v>
      </c>
      <c r="B29" s="142"/>
      <c r="C29" s="142"/>
      <c r="D29" s="142"/>
      <c r="E29" s="142"/>
    </row>
    <row r="30" spans="1:51" ht="21" customHeight="1" x14ac:dyDescent="0.2">
      <c r="A30" s="7" t="s">
        <v>46</v>
      </c>
      <c r="B30" s="13">
        <v>148</v>
      </c>
      <c r="C30" s="13">
        <v>146</v>
      </c>
      <c r="D30" s="13">
        <v>145</v>
      </c>
      <c r="E30" s="13">
        <v>144</v>
      </c>
    </row>
    <row r="31" spans="1:51" ht="21" customHeight="1" x14ac:dyDescent="0.2">
      <c r="A31" s="7" t="s">
        <v>47</v>
      </c>
      <c r="B31" s="13">
        <v>916628</v>
      </c>
      <c r="C31" s="13">
        <v>872266</v>
      </c>
      <c r="D31" s="13">
        <v>823484</v>
      </c>
      <c r="E31" s="13">
        <v>636558</v>
      </c>
    </row>
    <row r="32" spans="1:51" ht="21" customHeight="1" x14ac:dyDescent="0.2">
      <c r="A32" s="7" t="s">
        <v>48</v>
      </c>
      <c r="B32" s="13">
        <v>1139082</v>
      </c>
      <c r="C32" s="13">
        <v>1184441</v>
      </c>
      <c r="D32" s="13">
        <v>1259414</v>
      </c>
      <c r="E32" s="13">
        <v>1076533</v>
      </c>
    </row>
    <row r="33" spans="1:5" ht="21" customHeight="1" x14ac:dyDescent="0.2">
      <c r="A33" s="7" t="s">
        <v>49</v>
      </c>
      <c r="B33" s="13">
        <v>0</v>
      </c>
      <c r="C33" s="13">
        <v>0</v>
      </c>
      <c r="D33" s="13">
        <v>0</v>
      </c>
      <c r="E33" s="13">
        <v>0</v>
      </c>
    </row>
    <row r="34" spans="1:5" ht="21" customHeight="1" x14ac:dyDescent="0.2">
      <c r="A34" s="7" t="s">
        <v>50</v>
      </c>
      <c r="B34" s="13">
        <v>-38987</v>
      </c>
      <c r="C34" s="13">
        <v>-38211</v>
      </c>
      <c r="D34" s="13">
        <v>-52143</v>
      </c>
      <c r="E34" s="13">
        <v>-45013</v>
      </c>
    </row>
    <row r="35" spans="1:5" ht="21" customHeight="1" x14ac:dyDescent="0.2">
      <c r="A35" s="7" t="s">
        <v>51</v>
      </c>
      <c r="B35" s="13">
        <v>2016871</v>
      </c>
      <c r="C35" s="13">
        <v>2018642</v>
      </c>
      <c r="D35" s="13">
        <v>2030900</v>
      </c>
      <c r="E35" s="13">
        <v>1668222</v>
      </c>
    </row>
    <row r="36" spans="1:5" ht="21" customHeight="1" x14ac:dyDescent="0.2">
      <c r="A36" s="4" t="s">
        <v>52</v>
      </c>
      <c r="B36" s="14">
        <v>4245022</v>
      </c>
      <c r="C36" s="14">
        <v>4006367</v>
      </c>
      <c r="D36" s="14">
        <v>3644331</v>
      </c>
      <c r="E36" s="14">
        <v>2865970</v>
      </c>
    </row>
    <row r="37" spans="1:5" ht="21" customHeight="1" x14ac:dyDescent="0.2">
      <c r="A37" s="12"/>
    </row>
    <row r="38" spans="1:5" ht="21" customHeight="1" x14ac:dyDescent="0.2">
      <c r="A38" s="12"/>
    </row>
    <row r="39" spans="1:5" ht="21" customHeight="1" x14ac:dyDescent="0.2">
      <c r="A39" s="12"/>
    </row>
    <row r="40" spans="1:5" ht="21" customHeight="1" x14ac:dyDescent="0.2">
      <c r="A40" s="12"/>
    </row>
    <row r="41" spans="1:5" ht="21" customHeight="1" x14ac:dyDescent="0.2">
      <c r="A41" s="12"/>
    </row>
    <row r="42" spans="1:5" ht="21" customHeight="1" x14ac:dyDescent="0.2">
      <c r="A42" s="12"/>
    </row>
    <row r="43" spans="1:5" ht="21" customHeight="1" x14ac:dyDescent="0.2">
      <c r="A43" s="12"/>
    </row>
    <row r="44" spans="1:5" ht="21" customHeight="1" x14ac:dyDescent="0.2">
      <c r="A44" s="12"/>
    </row>
    <row r="45" spans="1:5" ht="21" customHeight="1" x14ac:dyDescent="0.2">
      <c r="A45" s="12"/>
    </row>
    <row r="46" spans="1:5" ht="21" customHeight="1" x14ac:dyDescent="0.2">
      <c r="A46" s="12"/>
    </row>
    <row r="47" spans="1:5" ht="21" customHeight="1" x14ac:dyDescent="0.2">
      <c r="A47" s="12"/>
    </row>
    <row r="48" spans="1:5" ht="21" customHeight="1" x14ac:dyDescent="0.2">
      <c r="A48" s="12"/>
    </row>
    <row r="49" spans="1:1" ht="21" customHeight="1" x14ac:dyDescent="0.2">
      <c r="A49" s="12"/>
    </row>
    <row r="50" spans="1:1" ht="21" customHeight="1" x14ac:dyDescent="0.2">
      <c r="A50" s="12"/>
    </row>
    <row r="51" spans="1:1" ht="21" customHeight="1" x14ac:dyDescent="0.2">
      <c r="A51" s="12"/>
    </row>
    <row r="52" spans="1:1" ht="21" customHeight="1" x14ac:dyDescent="0.2">
      <c r="A52" s="12"/>
    </row>
    <row r="53" spans="1:1" ht="21" customHeight="1" x14ac:dyDescent="0.2">
      <c r="A53" s="12"/>
    </row>
    <row r="54" spans="1:1" ht="21" customHeight="1" x14ac:dyDescent="0.2">
      <c r="A54" s="12"/>
    </row>
    <row r="55" spans="1:1" ht="21" customHeight="1" x14ac:dyDescent="0.2">
      <c r="A55" s="12"/>
    </row>
    <row r="56" spans="1:1" ht="21" customHeight="1" x14ac:dyDescent="0.2">
      <c r="A56" s="12"/>
    </row>
    <row r="57" spans="1:1" ht="21" customHeight="1" x14ac:dyDescent="0.2">
      <c r="A57" s="12"/>
    </row>
    <row r="58" spans="1:1" ht="21" customHeight="1" x14ac:dyDescent="0.2">
      <c r="A58" s="12"/>
    </row>
    <row r="59" spans="1:1" ht="21" customHeight="1" x14ac:dyDescent="0.2">
      <c r="A59" s="12"/>
    </row>
    <row r="60" spans="1:1" ht="21" customHeight="1" x14ac:dyDescent="0.2">
      <c r="A60" s="12"/>
    </row>
    <row r="61" spans="1:1" ht="21" customHeight="1" x14ac:dyDescent="0.2">
      <c r="A61" s="12"/>
    </row>
    <row r="62" spans="1:1" ht="21" customHeight="1" x14ac:dyDescent="0.2">
      <c r="A62" s="12"/>
    </row>
    <row r="63" spans="1:1" ht="21" customHeight="1" x14ac:dyDescent="0.2">
      <c r="A63" s="12"/>
    </row>
    <row r="64" spans="1:1" ht="21" customHeight="1" x14ac:dyDescent="0.2">
      <c r="A64" s="12"/>
    </row>
    <row r="65" spans="1:1" ht="21" customHeight="1" x14ac:dyDescent="0.2">
      <c r="A65" s="12"/>
    </row>
    <row r="66" spans="1:1" ht="21" customHeight="1" x14ac:dyDescent="0.2">
      <c r="A66" s="12"/>
    </row>
    <row r="67" spans="1:1" ht="21" customHeight="1" x14ac:dyDescent="0.2">
      <c r="A67" s="12"/>
    </row>
    <row r="68" spans="1:1" ht="21" customHeight="1" x14ac:dyDescent="0.2">
      <c r="A68" s="12"/>
    </row>
    <row r="69" spans="1:1" ht="21" customHeight="1" x14ac:dyDescent="0.2">
      <c r="A69" s="12"/>
    </row>
    <row r="70" spans="1:1" ht="21" customHeight="1" x14ac:dyDescent="0.2">
      <c r="A70" s="12"/>
    </row>
    <row r="71" spans="1:1" ht="21" customHeight="1" x14ac:dyDescent="0.2">
      <c r="A71" s="12"/>
    </row>
    <row r="72" spans="1:1" ht="21" customHeight="1" x14ac:dyDescent="0.2">
      <c r="A72" s="12"/>
    </row>
    <row r="73" spans="1:1" ht="21" customHeight="1" x14ac:dyDescent="0.2">
      <c r="A73" s="12"/>
    </row>
    <row r="74" spans="1:1" ht="21" customHeight="1" x14ac:dyDescent="0.2">
      <c r="A74" s="12"/>
    </row>
    <row r="75" spans="1:1" ht="21" customHeight="1" x14ac:dyDescent="0.2">
      <c r="A75" s="12"/>
    </row>
    <row r="76" spans="1:1" ht="21" customHeight="1" x14ac:dyDescent="0.2">
      <c r="A76" s="12"/>
    </row>
    <row r="77" spans="1:1" ht="21" customHeight="1" x14ac:dyDescent="0.2">
      <c r="A77" s="12"/>
    </row>
    <row r="78" spans="1:1" ht="21" customHeight="1" x14ac:dyDescent="0.2">
      <c r="A78" s="12"/>
    </row>
    <row r="79" spans="1:1" ht="21" customHeight="1" x14ac:dyDescent="0.2">
      <c r="A79" s="12"/>
    </row>
    <row r="80" spans="1:1" ht="21" customHeight="1" x14ac:dyDescent="0.2">
      <c r="A80" s="12"/>
    </row>
  </sheetData>
  <mergeCells count="35">
    <mergeCell ref="A3:E3"/>
    <mergeCell ref="A10:E10"/>
    <mergeCell ref="A18:E18"/>
    <mergeCell ref="A29:E29"/>
    <mergeCell ref="A1:E1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12:G13"/>
    <mergeCell ref="L12:L13"/>
    <mergeCell ref="K12:K13"/>
    <mergeCell ref="J12:J13"/>
    <mergeCell ref="I12:I13"/>
    <mergeCell ref="H12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workbookViewId="0">
      <selection activeCell="C10" sqref="C10"/>
    </sheetView>
  </sheetViews>
  <sheetFormatPr baseColWidth="10" defaultRowHeight="23" customHeight="1" x14ac:dyDescent="0.2"/>
  <cols>
    <col min="1" max="1" width="34.33203125" style="6" customWidth="1"/>
    <col min="2" max="3" width="14.1640625" style="12" bestFit="1" customWidth="1"/>
    <col min="4" max="5" width="14.6640625" style="12" bestFit="1" customWidth="1"/>
    <col min="6" max="16384" width="10.83203125" style="12"/>
  </cols>
  <sheetData>
    <row r="1" spans="1:15" ht="23" customHeight="1" x14ac:dyDescent="0.2">
      <c r="A1" s="143" t="s">
        <v>55</v>
      </c>
      <c r="B1" s="143"/>
      <c r="C1" s="143"/>
      <c r="D1" s="143"/>
      <c r="E1" s="143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0">
        <v>-46302</v>
      </c>
      <c r="C3" s="10">
        <v>-48260</v>
      </c>
      <c r="D3" s="10">
        <v>256979</v>
      </c>
      <c r="E3" s="10">
        <v>232573</v>
      </c>
    </row>
    <row r="4" spans="1:15" ht="23" customHeight="1" x14ac:dyDescent="0.2">
      <c r="A4" s="142" t="s">
        <v>56</v>
      </c>
      <c r="B4" s="142"/>
      <c r="C4" s="142"/>
      <c r="D4" s="142"/>
      <c r="E4" s="142"/>
    </row>
    <row r="5" spans="1:15" ht="23" customHeight="1" x14ac:dyDescent="0.2">
      <c r="A5" s="7" t="s">
        <v>57</v>
      </c>
      <c r="B5" s="8">
        <v>182022</v>
      </c>
      <c r="C5" s="8">
        <v>174001</v>
      </c>
      <c r="D5" s="8">
        <v>144770</v>
      </c>
      <c r="E5" s="8">
        <v>100940</v>
      </c>
    </row>
    <row r="6" spans="1:15" ht="23" customHeight="1" x14ac:dyDescent="0.2">
      <c r="A6" s="7" t="s">
        <v>58</v>
      </c>
      <c r="B6" s="8">
        <v>-203587</v>
      </c>
      <c r="C6" s="8">
        <v>248968</v>
      </c>
      <c r="D6" s="8">
        <v>132323</v>
      </c>
      <c r="E6" s="8">
        <v>176166</v>
      </c>
    </row>
    <row r="7" spans="1:15" ht="23" customHeight="1" x14ac:dyDescent="0.2">
      <c r="A7" s="142" t="s">
        <v>59</v>
      </c>
      <c r="B7" s="142"/>
      <c r="C7" s="142"/>
      <c r="D7" s="142"/>
      <c r="E7" s="142"/>
    </row>
    <row r="8" spans="1:15" ht="23" customHeight="1" x14ac:dyDescent="0.2">
      <c r="A8" s="7" t="s">
        <v>60</v>
      </c>
      <c r="B8" s="8">
        <v>186834</v>
      </c>
      <c r="C8" s="8">
        <v>-79106</v>
      </c>
      <c r="D8" s="8">
        <v>-249853</v>
      </c>
      <c r="E8" s="8">
        <v>-191876</v>
      </c>
    </row>
    <row r="9" spans="1:15" ht="23" customHeight="1" x14ac:dyDescent="0.2">
      <c r="A9" s="7" t="s">
        <v>61</v>
      </c>
      <c r="B9" s="8">
        <v>109919</v>
      </c>
      <c r="C9" s="8">
        <v>-222391</v>
      </c>
      <c r="D9" s="8">
        <v>-148055</v>
      </c>
      <c r="E9" s="8">
        <v>-278524</v>
      </c>
    </row>
    <row r="10" spans="1:15" ht="23" customHeight="1" x14ac:dyDescent="0.2">
      <c r="A10" s="7" t="s">
        <v>62</v>
      </c>
      <c r="B10" s="8">
        <v>-107855</v>
      </c>
      <c r="C10" s="8">
        <v>-52106</v>
      </c>
      <c r="D10" s="8">
        <v>-23029</v>
      </c>
      <c r="E10" s="8">
        <v>-76476</v>
      </c>
    </row>
    <row r="11" spans="1:15" ht="23" customHeight="1" x14ac:dyDescent="0.2">
      <c r="A11" s="7" t="s">
        <v>63</v>
      </c>
      <c r="B11" s="8">
        <v>507199</v>
      </c>
      <c r="C11" s="8">
        <v>216354</v>
      </c>
      <c r="D11" s="8">
        <v>253488</v>
      </c>
      <c r="E11" s="8">
        <v>51738</v>
      </c>
    </row>
    <row r="12" spans="1:15" s="6" customFormat="1" ht="23" customHeight="1" x14ac:dyDescent="0.2">
      <c r="A12" s="4" t="s">
        <v>64</v>
      </c>
      <c r="B12" s="10">
        <v>628230</v>
      </c>
      <c r="C12" s="10">
        <v>237460</v>
      </c>
      <c r="D12" s="10">
        <v>366623</v>
      </c>
      <c r="E12" s="10">
        <v>14541</v>
      </c>
      <c r="J12" s="56"/>
      <c r="K12" s="56"/>
      <c r="L12" s="56"/>
      <c r="M12" s="56"/>
      <c r="N12" s="56"/>
      <c r="O12" s="56"/>
    </row>
    <row r="13" spans="1:15" ht="23" customHeight="1" x14ac:dyDescent="0.2">
      <c r="A13" s="142" t="s">
        <v>65</v>
      </c>
      <c r="B13" s="142"/>
      <c r="C13" s="142"/>
      <c r="D13" s="142"/>
      <c r="E13" s="142"/>
    </row>
    <row r="14" spans="1:15" ht="23" customHeight="1" x14ac:dyDescent="0.2">
      <c r="A14" s="7" t="s">
        <v>66</v>
      </c>
      <c r="B14" s="8">
        <v>-170385</v>
      </c>
      <c r="C14" s="8">
        <v>-281339</v>
      </c>
      <c r="D14" s="8">
        <v>-386746</v>
      </c>
      <c r="E14" s="8">
        <v>-298928</v>
      </c>
    </row>
    <row r="15" spans="1:15" ht="23" customHeight="1" x14ac:dyDescent="0.2">
      <c r="A15" s="7" t="s">
        <v>67</v>
      </c>
      <c r="B15" s="8">
        <v>-39207</v>
      </c>
      <c r="C15" s="8">
        <v>0</v>
      </c>
      <c r="D15" s="8">
        <v>6482</v>
      </c>
      <c r="E15" s="8">
        <v>-6534</v>
      </c>
    </row>
    <row r="16" spans="1:15" ht="23" customHeight="1" x14ac:dyDescent="0.2">
      <c r="A16" s="7" t="s">
        <v>68</v>
      </c>
      <c r="B16" s="8">
        <v>6688</v>
      </c>
      <c r="C16" s="8">
        <v>-1648</v>
      </c>
      <c r="D16" s="8">
        <v>-875</v>
      </c>
      <c r="E16" s="8">
        <v>-542013</v>
      </c>
    </row>
    <row r="17" spans="1:5" s="6" customFormat="1" ht="23" customHeight="1" x14ac:dyDescent="0.2">
      <c r="A17" s="4" t="s">
        <v>69</v>
      </c>
      <c r="B17" s="10">
        <v>-202904</v>
      </c>
      <c r="C17" s="10">
        <v>-282987</v>
      </c>
      <c r="D17" s="10">
        <v>-381139</v>
      </c>
      <c r="E17" s="10">
        <v>-847475</v>
      </c>
    </row>
    <row r="18" spans="1:5" ht="23" customHeight="1" x14ac:dyDescent="0.2">
      <c r="A18" s="142" t="s">
        <v>70</v>
      </c>
      <c r="B18" s="142"/>
      <c r="C18" s="142"/>
      <c r="D18" s="142"/>
      <c r="E18" s="142"/>
    </row>
    <row r="19" spans="1:5" ht="23" customHeight="1" x14ac:dyDescent="0.2">
      <c r="A19" s="7" t="s">
        <v>71</v>
      </c>
      <c r="B19" s="8">
        <v>2580</v>
      </c>
      <c r="C19" s="8">
        <v>11540</v>
      </c>
      <c r="D19" s="8">
        <v>15485</v>
      </c>
      <c r="E19" s="8">
        <v>10310</v>
      </c>
    </row>
    <row r="20" spans="1:5" ht="23" customHeight="1" x14ac:dyDescent="0.2">
      <c r="A20" s="7" t="s">
        <v>72</v>
      </c>
      <c r="B20" s="8">
        <v>-190000</v>
      </c>
      <c r="C20" s="8">
        <v>98000</v>
      </c>
      <c r="D20" s="8">
        <v>156851</v>
      </c>
      <c r="E20" s="8">
        <v>384798</v>
      </c>
    </row>
    <row r="21" spans="1:5" ht="23" customHeight="1" x14ac:dyDescent="0.2">
      <c r="A21" s="7" t="s">
        <v>73</v>
      </c>
      <c r="B21" s="8">
        <v>-2437</v>
      </c>
      <c r="C21" s="8">
        <v>-2781</v>
      </c>
      <c r="D21" s="8">
        <v>-16603</v>
      </c>
      <c r="E21" s="8">
        <v>-12728</v>
      </c>
    </row>
    <row r="22" spans="1:5" s="6" customFormat="1" ht="23" customHeight="1" x14ac:dyDescent="0.2">
      <c r="A22" s="4" t="s">
        <v>74</v>
      </c>
      <c r="B22" s="10">
        <v>-189868</v>
      </c>
      <c r="C22" s="10">
        <v>106759</v>
      </c>
      <c r="D22" s="10">
        <v>146114</v>
      </c>
      <c r="E22" s="10">
        <v>381433</v>
      </c>
    </row>
    <row r="23" spans="1:5" ht="23" customHeight="1" x14ac:dyDescent="0.2">
      <c r="A23" s="7" t="s">
        <v>75</v>
      </c>
      <c r="B23" s="8">
        <v>12467</v>
      </c>
      <c r="C23" s="8">
        <v>4178</v>
      </c>
      <c r="D23" s="8">
        <v>-8725</v>
      </c>
      <c r="E23" s="8">
        <v>-11822</v>
      </c>
    </row>
    <row r="24" spans="1:5" s="6" customFormat="1" ht="23" customHeight="1" x14ac:dyDescent="0.2">
      <c r="A24" s="4" t="s">
        <v>76</v>
      </c>
      <c r="B24" s="10">
        <v>247925</v>
      </c>
      <c r="C24" s="10">
        <v>65410</v>
      </c>
      <c r="D24" s="10">
        <v>122873</v>
      </c>
      <c r="E24" s="10">
        <v>-463323</v>
      </c>
    </row>
    <row r="25" spans="1:5" ht="23" customHeight="1" x14ac:dyDescent="0.2">
      <c r="A25" s="4"/>
      <c r="B25" s="16"/>
      <c r="C25" s="16"/>
      <c r="D25" s="16"/>
      <c r="E25" s="16"/>
    </row>
    <row r="26" spans="1:5" ht="23" customHeight="1" x14ac:dyDescent="0.2">
      <c r="A26" s="4"/>
      <c r="B26" s="16"/>
      <c r="C26" s="16"/>
      <c r="D26" s="16"/>
      <c r="E26" s="16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DISCOUNTED CASH FLOW MODEL</vt:lpstr>
      <vt:lpstr>UAA FINANCIAL RATIOS</vt:lpstr>
      <vt:lpstr>PRICE RATIO ANALYSIS</vt:lpstr>
      <vt:lpstr>UAA INCOME STATEMENT</vt:lpstr>
      <vt:lpstr>UAA BALANCE SHEET</vt:lpstr>
      <vt:lpstr>UAA 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2019-07-05T19:11:02Z</dcterms:modified>
</cp:coreProperties>
</file>