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8800" windowHeight="12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C20" i="1"/>
  <c r="D20" i="1"/>
  <c r="C19" i="1"/>
  <c r="D19" i="1"/>
  <c r="C17" i="1"/>
  <c r="D17" i="1"/>
  <c r="C18" i="1"/>
  <c r="D18" i="1"/>
  <c r="C15" i="1"/>
  <c r="D15" i="1"/>
  <c r="C16" i="1"/>
  <c r="D16" i="1"/>
  <c r="E16" i="1"/>
  <c r="C14" i="1"/>
  <c r="D14" i="1"/>
  <c r="C12" i="1"/>
  <c r="D12" i="1"/>
  <c r="E12" i="1"/>
  <c r="F12" i="1"/>
  <c r="C13" i="1"/>
  <c r="D13" i="1"/>
  <c r="E13" i="1"/>
  <c r="F13" i="1"/>
  <c r="C9" i="1"/>
  <c r="D9" i="1"/>
  <c r="E9" i="1"/>
  <c r="F9" i="1"/>
  <c r="C10" i="1"/>
  <c r="D10" i="1"/>
  <c r="E10" i="1"/>
  <c r="F10" i="1"/>
  <c r="C11" i="1"/>
  <c r="D11" i="1"/>
  <c r="E11" i="1"/>
  <c r="F11" i="1"/>
  <c r="C4" i="1"/>
  <c r="D4" i="1"/>
  <c r="E4" i="1"/>
  <c r="F4" i="1"/>
  <c r="C8" i="1"/>
  <c r="D8" i="1"/>
  <c r="E8" i="1"/>
  <c r="F8" i="1"/>
  <c r="C3" i="1"/>
  <c r="D3" i="1"/>
  <c r="E3" i="1"/>
  <c r="F3" i="1"/>
  <c r="C7" i="1"/>
  <c r="D7" i="1"/>
  <c r="E7" i="1"/>
  <c r="F7" i="1"/>
  <c r="C6" i="1"/>
  <c r="D6" i="1"/>
  <c r="E6" i="1"/>
  <c r="F6" i="1"/>
  <c r="C5" i="1"/>
  <c r="D5" i="1"/>
  <c r="E5" i="1"/>
  <c r="F5" i="1"/>
  <c r="C2" i="1"/>
  <c r="D2" i="1"/>
  <c r="E2" i="1"/>
  <c r="F2" i="1"/>
  <c r="E14" i="1"/>
  <c r="F14" i="1"/>
  <c r="F16" i="1"/>
  <c r="E15" i="1"/>
  <c r="F15" i="1"/>
  <c r="E18" i="1"/>
  <c r="F18" i="1"/>
  <c r="E17" i="1"/>
  <c r="F17" i="1"/>
  <c r="E19" i="1"/>
  <c r="F19" i="1"/>
  <c r="E20" i="1"/>
  <c r="F20" i="1"/>
  <c r="E21" i="1"/>
  <c r="F21" i="1"/>
  <c r="F22" i="1"/>
  <c r="G18" i="1"/>
  <c r="H18" i="1"/>
  <c r="I18" i="1"/>
  <c r="J18" i="1"/>
  <c r="K18" i="1"/>
  <c r="B22" i="1"/>
  <c r="G6" i="1"/>
  <c r="H6" i="1"/>
  <c r="I6" i="1"/>
  <c r="J6" i="1"/>
  <c r="K6" i="1"/>
  <c r="G16" i="1"/>
  <c r="H16" i="1"/>
  <c r="I16" i="1"/>
  <c r="J16" i="1"/>
  <c r="K16" i="1"/>
  <c r="G4" i="1"/>
  <c r="H4" i="1"/>
  <c r="I4" i="1"/>
  <c r="J4" i="1"/>
  <c r="K4" i="1"/>
  <c r="G12" i="1"/>
  <c r="H12" i="1"/>
  <c r="I12" i="1"/>
  <c r="J12" i="1"/>
  <c r="K12" i="1"/>
  <c r="G20" i="1"/>
  <c r="H20" i="1"/>
  <c r="I20" i="1"/>
  <c r="J20" i="1"/>
  <c r="K20" i="1"/>
  <c r="G7" i="1"/>
  <c r="H7" i="1"/>
  <c r="I7" i="1"/>
  <c r="J7" i="1"/>
  <c r="K7" i="1"/>
  <c r="G15" i="1"/>
  <c r="H15" i="1"/>
  <c r="I15" i="1"/>
  <c r="J15" i="1"/>
  <c r="K15" i="1"/>
  <c r="G2" i="1"/>
  <c r="G17" i="1"/>
  <c r="H17" i="1"/>
  <c r="I17" i="1"/>
  <c r="J17" i="1"/>
  <c r="K17" i="1"/>
  <c r="G10" i="1"/>
  <c r="H10" i="1"/>
  <c r="I10" i="1"/>
  <c r="J10" i="1"/>
  <c r="K10" i="1"/>
  <c r="G3" i="1"/>
  <c r="H3" i="1"/>
  <c r="I3" i="1"/>
  <c r="J3" i="1"/>
  <c r="K3" i="1"/>
  <c r="G13" i="1"/>
  <c r="H13" i="1"/>
  <c r="I13" i="1"/>
  <c r="J13" i="1"/>
  <c r="K13" i="1"/>
  <c r="G5" i="1"/>
  <c r="H5" i="1"/>
  <c r="I5" i="1"/>
  <c r="J5" i="1"/>
  <c r="K5" i="1"/>
  <c r="G14" i="1"/>
  <c r="H14" i="1"/>
  <c r="I14" i="1"/>
  <c r="J14" i="1"/>
  <c r="K14" i="1"/>
  <c r="G21" i="1"/>
  <c r="H21" i="1"/>
  <c r="I21" i="1"/>
  <c r="J21" i="1"/>
  <c r="K21" i="1"/>
  <c r="G9" i="1"/>
  <c r="H9" i="1"/>
  <c r="I9" i="1"/>
  <c r="J9" i="1"/>
  <c r="K9" i="1"/>
  <c r="G22" i="1"/>
  <c r="G11" i="1"/>
  <c r="H11" i="1"/>
  <c r="I11" i="1"/>
  <c r="J11" i="1"/>
  <c r="K11" i="1"/>
  <c r="G19" i="1"/>
  <c r="H19" i="1"/>
  <c r="I19" i="1"/>
  <c r="J19" i="1"/>
  <c r="K19" i="1"/>
  <c r="G8" i="1"/>
  <c r="H8" i="1"/>
  <c r="I8" i="1"/>
  <c r="J8" i="1"/>
  <c r="K8" i="1"/>
  <c r="H2" i="1"/>
  <c r="I2" i="1"/>
  <c r="J2" i="1"/>
  <c r="K2" i="1"/>
</calcChain>
</file>

<file path=xl/sharedStrings.xml><?xml version="1.0" encoding="utf-8"?>
<sst xmlns="http://schemas.openxmlformats.org/spreadsheetml/2006/main" count="32" uniqueCount="32">
  <si>
    <t>organism</t>
  </si>
  <si>
    <t>genome equivalents in 20 ng (4 ul of dilution)</t>
  </si>
  <si>
    <t>genome equivalents/ul of dilution</t>
  </si>
  <si>
    <t>percent of mixture</t>
  </si>
  <si>
    <t>reads from 80 million P1 run</t>
  </si>
  <si>
    <t>base pairs from 80 million P1 run</t>
  </si>
  <si>
    <t xml:space="preserve"> Pseudomonas aeruginosa</t>
  </si>
  <si>
    <t xml:space="preserve"> Streptococcus mutans</t>
  </si>
  <si>
    <t xml:space="preserve"> Staphylococcus epidermidis</t>
  </si>
  <si>
    <t xml:space="preserve"> Streptococcus pneumoniae</t>
  </si>
  <si>
    <t xml:space="preserve"> Escherichia coli</t>
  </si>
  <si>
    <t xml:space="preserve"> Enterococcus faecalis</t>
  </si>
  <si>
    <t xml:space="preserve"> Bacteroides vulgatus</t>
  </si>
  <si>
    <t xml:space="preserve"> Actinomyces odontolyticus</t>
  </si>
  <si>
    <t xml:space="preserve"> Deinococcus radiodurans</t>
  </si>
  <si>
    <t xml:space="preserve"> Rhodobacter sphaeroides</t>
  </si>
  <si>
    <t xml:space="preserve"> Streptococcus agalactiae</t>
  </si>
  <si>
    <t xml:space="preserve"> Neisseria meningitidis</t>
  </si>
  <si>
    <t xml:space="preserve"> Acinetobacter baumannii</t>
  </si>
  <si>
    <t xml:space="preserve"> Helicobacter pylori</t>
  </si>
  <si>
    <t xml:space="preserve"> Propionibacterium acnes</t>
  </si>
  <si>
    <t xml:space="preserve"> Clostridium beijerinckii</t>
  </si>
  <si>
    <t xml:space="preserve"> Bacillus cereus</t>
  </si>
  <si>
    <t xml:space="preserve"> Staphylococcus aureus</t>
  </si>
  <si>
    <t>Lactobacillus gasseri</t>
  </si>
  <si>
    <t>Listeria monocytogenes</t>
  </si>
  <si>
    <t>expected coverage from 80 million P1 reads</t>
  </si>
  <si>
    <t>concentration of stock (pg/ul)</t>
  </si>
  <si>
    <t>10X dilution concetration (pg/ul)</t>
  </si>
  <si>
    <t>femtograms/ul of dilution</t>
  </si>
  <si>
    <t>SUM</t>
  </si>
  <si>
    <t>expected coverage from half a P1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</si>
</sst>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18" sqref="B18"/>
    </sheetView>
  </sheetViews>
  <sheetFormatPr baseColWidth="10" defaultColWidth="8.83203125" defaultRowHeight="14" x14ac:dyDescent="0"/>
  <cols>
    <col min="1" max="1" width="27.33203125" style="1" customWidth="1"/>
    <col min="2" max="2" width="13.5" style="1" customWidth="1"/>
    <col min="3" max="3" width="12.83203125" style="1" customWidth="1"/>
    <col min="4" max="4" width="14.5" style="1" customWidth="1"/>
    <col min="5" max="5" width="14.33203125" style="2" customWidth="1"/>
    <col min="6" max="6" width="12.6640625" style="2" customWidth="1"/>
    <col min="7" max="7" width="8.83203125" style="1"/>
    <col min="8" max="8" width="10.1640625" style="11" bestFit="1" customWidth="1"/>
    <col min="9" max="9" width="15.5" style="11" customWidth="1"/>
    <col min="10" max="10" width="15" style="3" customWidth="1"/>
  </cols>
  <sheetData>
    <row r="1" spans="1:11" s="8" customFormat="1" ht="56">
      <c r="A1" s="5" t="s">
        <v>0</v>
      </c>
      <c r="B1" s="5" t="s">
        <v>27</v>
      </c>
      <c r="C1" s="5" t="s">
        <v>28</v>
      </c>
      <c r="D1" s="5" t="s">
        <v>29</v>
      </c>
      <c r="E1" s="6" t="s">
        <v>2</v>
      </c>
      <c r="F1" s="6" t="s">
        <v>1</v>
      </c>
      <c r="G1" s="5" t="s">
        <v>3</v>
      </c>
      <c r="H1" s="10" t="s">
        <v>4</v>
      </c>
      <c r="I1" s="10" t="s">
        <v>5</v>
      </c>
      <c r="J1" s="7" t="s">
        <v>26</v>
      </c>
      <c r="K1" s="17" t="s">
        <v>31</v>
      </c>
    </row>
    <row r="2" spans="1:11">
      <c r="A2" s="1" t="s">
        <v>6</v>
      </c>
      <c r="B2" s="1">
        <v>1600</v>
      </c>
      <c r="C2" s="1">
        <f t="shared" ref="C2:C21" si="0">B2/10</f>
        <v>160</v>
      </c>
      <c r="D2" s="1">
        <f t="shared" ref="D2:D21" si="1">C2*1000</f>
        <v>160000</v>
      </c>
      <c r="E2" s="2">
        <f>D2/6.3</f>
        <v>25396.825396825396</v>
      </c>
      <c r="F2" s="2">
        <f t="shared" ref="F2:F21" si="2">E2*4</f>
        <v>101587.30158730158</v>
      </c>
      <c r="G2" s="4">
        <f t="shared" ref="G2:G21" si="3">F2/F$22</f>
        <v>2.6955221338282889E-2</v>
      </c>
      <c r="H2" s="11">
        <f t="shared" ref="H2:H21" si="4">G2*80000000</f>
        <v>2156417.7070626309</v>
      </c>
      <c r="I2" s="11">
        <f t="shared" ref="I2:I21" si="5">H2*150</f>
        <v>323462656.05939466</v>
      </c>
      <c r="J2" s="3">
        <f t="shared" ref="J2:J21" si="6">I2/5000000</f>
        <v>64.692531211878929</v>
      </c>
      <c r="K2">
        <f t="shared" ref="K2:K21" si="7">J2/2</f>
        <v>32.346265605939465</v>
      </c>
    </row>
    <row r="3" spans="1:11">
      <c r="A3" s="1" t="s">
        <v>10</v>
      </c>
      <c r="B3" s="1">
        <v>6800</v>
      </c>
      <c r="C3" s="1">
        <f t="shared" si="0"/>
        <v>680</v>
      </c>
      <c r="D3" s="1">
        <f t="shared" si="1"/>
        <v>680000</v>
      </c>
      <c r="E3" s="2">
        <f>D3/4.63</f>
        <v>146868.25053995682</v>
      </c>
      <c r="F3" s="2">
        <f t="shared" si="2"/>
        <v>587473.00215982727</v>
      </c>
      <c r="G3" s="4">
        <f t="shared" si="3"/>
        <v>0.15588035665929256</v>
      </c>
      <c r="H3" s="11">
        <f t="shared" si="4"/>
        <v>12470428.532743406</v>
      </c>
      <c r="I3" s="11">
        <f t="shared" si="5"/>
        <v>1870564279.9115109</v>
      </c>
      <c r="J3" s="3">
        <f t="shared" si="6"/>
        <v>374.11285598230216</v>
      </c>
      <c r="K3">
        <f t="shared" si="7"/>
        <v>187.05642799115108</v>
      </c>
    </row>
    <row r="4" spans="1:11">
      <c r="A4" s="1" t="s">
        <v>12</v>
      </c>
      <c r="B4" s="1">
        <v>7.6</v>
      </c>
      <c r="C4" s="1">
        <f t="shared" si="0"/>
        <v>0.76</v>
      </c>
      <c r="D4" s="1">
        <f t="shared" si="1"/>
        <v>760</v>
      </c>
      <c r="E4" s="2">
        <f>D4/4.78</f>
        <v>158.99581589958157</v>
      </c>
      <c r="F4" s="2">
        <f t="shared" si="2"/>
        <v>635.98326359832629</v>
      </c>
      <c r="G4" s="4">
        <f t="shared" si="3"/>
        <v>1.6875209174646767E-4</v>
      </c>
      <c r="H4" s="11">
        <f t="shared" si="4"/>
        <v>13500.167339717413</v>
      </c>
      <c r="I4" s="11">
        <f t="shared" si="5"/>
        <v>2025025.1009576118</v>
      </c>
      <c r="J4" s="3">
        <f t="shared" si="6"/>
        <v>0.40500502019152235</v>
      </c>
      <c r="K4">
        <f t="shared" si="7"/>
        <v>0.20250251009576117</v>
      </c>
    </row>
    <row r="5" spans="1:11">
      <c r="A5" s="1" t="s">
        <v>7</v>
      </c>
      <c r="B5" s="1">
        <v>4100</v>
      </c>
      <c r="C5" s="1">
        <f t="shared" si="0"/>
        <v>410</v>
      </c>
      <c r="D5" s="1">
        <f t="shared" si="1"/>
        <v>410000</v>
      </c>
      <c r="E5" s="2">
        <f>D5/2.03</f>
        <v>201970.44334975371</v>
      </c>
      <c r="F5" s="2">
        <f t="shared" si="2"/>
        <v>807881.77339901484</v>
      </c>
      <c r="G5" s="4">
        <f t="shared" si="3"/>
        <v>0.21436372141867216</v>
      </c>
      <c r="H5" s="11">
        <f t="shared" si="4"/>
        <v>17149097.713493772</v>
      </c>
      <c r="I5" s="11">
        <f t="shared" si="5"/>
        <v>2572364657.024066</v>
      </c>
      <c r="J5" s="3">
        <f t="shared" si="6"/>
        <v>514.47293140481315</v>
      </c>
      <c r="K5">
        <f t="shared" si="7"/>
        <v>257.23646570240658</v>
      </c>
    </row>
    <row r="6" spans="1:11">
      <c r="A6" s="1" t="s">
        <v>8</v>
      </c>
      <c r="B6" s="1">
        <v>5100</v>
      </c>
      <c r="C6" s="1">
        <f t="shared" si="0"/>
        <v>510</v>
      </c>
      <c r="D6" s="1">
        <f t="shared" si="1"/>
        <v>510000</v>
      </c>
      <c r="E6" s="2">
        <f>D6/2.5</f>
        <v>204000</v>
      </c>
      <c r="F6" s="2">
        <f t="shared" si="2"/>
        <v>816000</v>
      </c>
      <c r="G6" s="4">
        <f t="shared" si="3"/>
        <v>0.21651781539975734</v>
      </c>
      <c r="H6" s="11">
        <f t="shared" si="4"/>
        <v>17321425.231980588</v>
      </c>
      <c r="I6" s="11">
        <f t="shared" si="5"/>
        <v>2598213784.7970881</v>
      </c>
      <c r="J6" s="3">
        <f t="shared" si="6"/>
        <v>519.64275695941762</v>
      </c>
      <c r="K6">
        <f t="shared" si="7"/>
        <v>259.82137847970881</v>
      </c>
    </row>
    <row r="7" spans="1:11">
      <c r="A7" s="1" t="s">
        <v>9</v>
      </c>
      <c r="B7" s="1">
        <v>5.5</v>
      </c>
      <c r="C7" s="1">
        <f t="shared" si="0"/>
        <v>0.55000000000000004</v>
      </c>
      <c r="D7" s="1">
        <f t="shared" si="1"/>
        <v>550</v>
      </c>
      <c r="E7" s="2">
        <f>D7/2.22</f>
        <v>247.74774774774772</v>
      </c>
      <c r="F7" s="2">
        <f t="shared" si="2"/>
        <v>990.99099099099089</v>
      </c>
      <c r="G7" s="4">
        <f t="shared" si="3"/>
        <v>2.6295000545368868E-4</v>
      </c>
      <c r="H7" s="11">
        <f t="shared" si="4"/>
        <v>21036.000436295093</v>
      </c>
      <c r="I7" s="11">
        <f t="shared" si="5"/>
        <v>3155400.0654442641</v>
      </c>
      <c r="J7" s="3">
        <f t="shared" si="6"/>
        <v>0.63108001308885286</v>
      </c>
      <c r="K7">
        <f t="shared" si="7"/>
        <v>0.31554000654442643</v>
      </c>
    </row>
    <row r="8" spans="1:11">
      <c r="A8" s="1" t="s">
        <v>11</v>
      </c>
      <c r="B8" s="1">
        <v>7</v>
      </c>
      <c r="C8" s="1">
        <f t="shared" si="0"/>
        <v>0.7</v>
      </c>
      <c r="D8" s="1">
        <f t="shared" si="1"/>
        <v>700</v>
      </c>
      <c r="E8" s="2">
        <f>D8/2.7</f>
        <v>259.25925925925924</v>
      </c>
      <c r="F8" s="2">
        <f t="shared" si="2"/>
        <v>1037.037037037037</v>
      </c>
      <c r="G8" s="4">
        <f t="shared" si="3"/>
        <v>2.7516788449497118E-4</v>
      </c>
      <c r="H8" s="11">
        <f t="shared" si="4"/>
        <v>22013.430759597693</v>
      </c>
      <c r="I8" s="11">
        <f t="shared" si="5"/>
        <v>3302014.6139396541</v>
      </c>
      <c r="J8" s="3">
        <f t="shared" si="6"/>
        <v>0.66040292278793078</v>
      </c>
      <c r="K8">
        <f t="shared" si="7"/>
        <v>0.33020146139396539</v>
      </c>
    </row>
    <row r="9" spans="1:11">
      <c r="A9" s="1" t="s">
        <v>15</v>
      </c>
      <c r="B9" s="1">
        <v>14000</v>
      </c>
      <c r="C9" s="1">
        <f t="shared" si="0"/>
        <v>1400</v>
      </c>
      <c r="D9" s="1">
        <f t="shared" si="1"/>
        <v>1400000</v>
      </c>
      <c r="E9" s="2">
        <f>D9/4.75</f>
        <v>294736.84210526315</v>
      </c>
      <c r="F9" s="2">
        <f t="shared" si="2"/>
        <v>1178947.3684210526</v>
      </c>
      <c r="G9" s="4">
        <f t="shared" si="3"/>
        <v>0.31282243711007252</v>
      </c>
      <c r="H9" s="11">
        <f t="shared" si="4"/>
        <v>25025794.968805801</v>
      </c>
      <c r="I9" s="11">
        <f t="shared" si="5"/>
        <v>3753869245.3208704</v>
      </c>
      <c r="J9" s="3">
        <f t="shared" si="6"/>
        <v>750.7738490641741</v>
      </c>
      <c r="K9">
        <f t="shared" si="7"/>
        <v>375.38692453208705</v>
      </c>
    </row>
    <row r="10" spans="1:11">
      <c r="A10" s="1" t="s">
        <v>14</v>
      </c>
      <c r="B10" s="1">
        <v>10</v>
      </c>
      <c r="C10" s="1">
        <f t="shared" si="0"/>
        <v>1</v>
      </c>
      <c r="D10" s="1">
        <f t="shared" si="1"/>
        <v>1000</v>
      </c>
      <c r="E10" s="2">
        <f>D10/3.08</f>
        <v>324.67532467532465</v>
      </c>
      <c r="F10" s="2">
        <f t="shared" si="2"/>
        <v>1298.7012987012986</v>
      </c>
      <c r="G10" s="4">
        <f t="shared" si="3"/>
        <v>3.4459800006327555E-4</v>
      </c>
      <c r="H10" s="11">
        <f t="shared" si="4"/>
        <v>27567.840005062044</v>
      </c>
      <c r="I10" s="11">
        <f t="shared" si="5"/>
        <v>4135176.0007593064</v>
      </c>
      <c r="J10" s="3">
        <f t="shared" si="6"/>
        <v>0.82703520015186127</v>
      </c>
      <c r="K10">
        <f t="shared" si="7"/>
        <v>0.41351760007593064</v>
      </c>
    </row>
    <row r="11" spans="1:11">
      <c r="A11" s="1" t="s">
        <v>13</v>
      </c>
      <c r="B11" s="1">
        <v>10</v>
      </c>
      <c r="C11" s="1">
        <f t="shared" si="0"/>
        <v>1</v>
      </c>
      <c r="D11" s="1">
        <f t="shared" si="1"/>
        <v>1000</v>
      </c>
      <c r="E11" s="2">
        <f>D11/2.34</f>
        <v>427.35042735042737</v>
      </c>
      <c r="F11" s="2">
        <f t="shared" si="2"/>
        <v>1709.4017094017095</v>
      </c>
      <c r="G11" s="4">
        <f t="shared" si="3"/>
        <v>4.5357343598072177E-4</v>
      </c>
      <c r="H11" s="11">
        <f t="shared" si="4"/>
        <v>36285.87487845774</v>
      </c>
      <c r="I11" s="11">
        <f t="shared" si="5"/>
        <v>5442881.2317686612</v>
      </c>
      <c r="J11" s="3">
        <f t="shared" si="6"/>
        <v>1.0885762463537323</v>
      </c>
      <c r="K11">
        <f t="shared" si="7"/>
        <v>0.54428812317686615</v>
      </c>
    </row>
    <row r="12" spans="1:11">
      <c r="A12" s="1" t="s">
        <v>16</v>
      </c>
      <c r="B12" s="1">
        <v>320</v>
      </c>
      <c r="C12" s="1">
        <f t="shared" si="0"/>
        <v>32</v>
      </c>
      <c r="D12" s="1">
        <f t="shared" si="1"/>
        <v>32000</v>
      </c>
      <c r="E12" s="2">
        <f>D12/2.21</f>
        <v>14479.638009049773</v>
      </c>
      <c r="F12" s="2">
        <f t="shared" si="2"/>
        <v>57918.552036199093</v>
      </c>
      <c r="G12" s="4">
        <f t="shared" si="3"/>
        <v>1.5368135242640924E-2</v>
      </c>
      <c r="H12" s="11">
        <f t="shared" si="4"/>
        <v>1229450.819411274</v>
      </c>
      <c r="I12" s="11">
        <f t="shared" si="5"/>
        <v>184417622.9116911</v>
      </c>
      <c r="J12" s="3">
        <f t="shared" si="6"/>
        <v>36.883524582338218</v>
      </c>
      <c r="K12">
        <f t="shared" si="7"/>
        <v>18.441762291169109</v>
      </c>
    </row>
    <row r="13" spans="1:11">
      <c r="A13" s="1" t="s">
        <v>24</v>
      </c>
      <c r="B13" s="1">
        <v>32</v>
      </c>
      <c r="C13" s="1">
        <f t="shared" si="0"/>
        <v>3.2</v>
      </c>
      <c r="D13" s="1">
        <f t="shared" si="1"/>
        <v>3200</v>
      </c>
      <c r="E13" s="2">
        <f>D13/1.9</f>
        <v>1684.2105263157896</v>
      </c>
      <c r="F13" s="2">
        <f t="shared" si="2"/>
        <v>6736.8421052631584</v>
      </c>
      <c r="G13" s="4">
        <f t="shared" si="3"/>
        <v>1.7875567834861287E-3</v>
      </c>
      <c r="H13" s="11">
        <f t="shared" si="4"/>
        <v>143004.54267889028</v>
      </c>
      <c r="I13" s="11">
        <f t="shared" si="5"/>
        <v>21450681.401833542</v>
      </c>
      <c r="J13" s="3">
        <f t="shared" si="6"/>
        <v>4.290136280366708</v>
      </c>
      <c r="K13">
        <f t="shared" si="7"/>
        <v>2.145068140183354</v>
      </c>
    </row>
    <row r="14" spans="1:11">
      <c r="A14" s="1" t="s">
        <v>25</v>
      </c>
      <c r="B14" s="1">
        <v>50</v>
      </c>
      <c r="C14" s="1">
        <f t="shared" si="0"/>
        <v>5</v>
      </c>
      <c r="D14" s="1">
        <f t="shared" si="1"/>
        <v>5000</v>
      </c>
      <c r="E14" s="2">
        <f>D14/2.94</f>
        <v>1700.6802721088436</v>
      </c>
      <c r="F14" s="2">
        <f t="shared" si="2"/>
        <v>6802.7210884353744</v>
      </c>
      <c r="G14" s="4">
        <f t="shared" si="3"/>
        <v>1.8050371431885866E-3</v>
      </c>
      <c r="H14" s="11">
        <f t="shared" si="4"/>
        <v>144402.97145508692</v>
      </c>
      <c r="I14" s="11">
        <f t="shared" si="5"/>
        <v>21660445.718263038</v>
      </c>
      <c r="J14" s="3">
        <f t="shared" si="6"/>
        <v>4.3320891436526079</v>
      </c>
      <c r="K14">
        <f t="shared" si="7"/>
        <v>2.1660445718263039</v>
      </c>
    </row>
    <row r="15" spans="1:11">
      <c r="A15" s="1" t="s">
        <v>18</v>
      </c>
      <c r="B15" s="1">
        <v>82</v>
      </c>
      <c r="C15" s="1">
        <f t="shared" si="0"/>
        <v>8.1999999999999993</v>
      </c>
      <c r="D15" s="1">
        <f t="shared" si="1"/>
        <v>8200</v>
      </c>
      <c r="E15" s="2">
        <f>D15/3.94</f>
        <v>2081.2182741116753</v>
      </c>
      <c r="F15" s="2">
        <f t="shared" si="2"/>
        <v>8324.8730964467013</v>
      </c>
      <c r="G15" s="4">
        <f t="shared" si="3"/>
        <v>2.2089256572583984E-3</v>
      </c>
      <c r="H15" s="11">
        <f t="shared" si="4"/>
        <v>176714.05258067188</v>
      </c>
      <c r="I15" s="11">
        <f t="shared" si="5"/>
        <v>26507107.887100782</v>
      </c>
      <c r="J15" s="3">
        <f t="shared" si="6"/>
        <v>5.3014215774201565</v>
      </c>
      <c r="K15">
        <f t="shared" si="7"/>
        <v>2.6507107887100783</v>
      </c>
    </row>
    <row r="16" spans="1:11">
      <c r="A16" s="1" t="s">
        <v>17</v>
      </c>
      <c r="B16" s="1">
        <v>58</v>
      </c>
      <c r="C16" s="1">
        <f t="shared" si="0"/>
        <v>5.8</v>
      </c>
      <c r="D16" s="1">
        <f t="shared" si="1"/>
        <v>5800</v>
      </c>
      <c r="E16" s="2">
        <f>D16/2.27</f>
        <v>2555.0660792951539</v>
      </c>
      <c r="F16" s="2">
        <f t="shared" si="2"/>
        <v>10220.264317180616</v>
      </c>
      <c r="G16" s="4">
        <f t="shared" si="3"/>
        <v>2.7118496357402444E-3</v>
      </c>
      <c r="H16" s="11">
        <f t="shared" si="4"/>
        <v>216947.97085921955</v>
      </c>
      <c r="I16" s="11">
        <f t="shared" si="5"/>
        <v>32542195.628882933</v>
      </c>
      <c r="J16" s="3">
        <f t="shared" si="6"/>
        <v>6.5084391257765866</v>
      </c>
      <c r="K16">
        <f t="shared" si="7"/>
        <v>3.2542195628882933</v>
      </c>
    </row>
    <row r="17" spans="1:11">
      <c r="A17" s="1" t="s">
        <v>20</v>
      </c>
      <c r="B17" s="1">
        <v>88</v>
      </c>
      <c r="C17" s="1">
        <f t="shared" si="0"/>
        <v>8.8000000000000007</v>
      </c>
      <c r="D17" s="1">
        <f t="shared" si="1"/>
        <v>8800</v>
      </c>
      <c r="E17" s="2">
        <f>D17/2.56</f>
        <v>3437.5</v>
      </c>
      <c r="F17" s="2">
        <f t="shared" si="2"/>
        <v>13750</v>
      </c>
      <c r="G17" s="4">
        <f t="shared" si="3"/>
        <v>3.6484313256699304E-3</v>
      </c>
      <c r="H17" s="11">
        <f t="shared" si="4"/>
        <v>291874.50605359441</v>
      </c>
      <c r="I17" s="11">
        <f t="shared" si="5"/>
        <v>43781175.90803916</v>
      </c>
      <c r="J17" s="3">
        <f t="shared" si="6"/>
        <v>8.7562351816078312</v>
      </c>
      <c r="K17">
        <f t="shared" si="7"/>
        <v>4.3781175908039156</v>
      </c>
    </row>
    <row r="18" spans="1:11">
      <c r="A18" s="1" t="s">
        <v>19</v>
      </c>
      <c r="B18" s="1">
        <v>86</v>
      </c>
      <c r="C18" s="1">
        <f t="shared" si="0"/>
        <v>8.6</v>
      </c>
      <c r="D18" s="1">
        <f t="shared" si="1"/>
        <v>8600</v>
      </c>
      <c r="E18" s="2">
        <f>D18/1.67</f>
        <v>5149.7005988023957</v>
      </c>
      <c r="F18" s="2">
        <f t="shared" si="2"/>
        <v>20598.802395209583</v>
      </c>
      <c r="G18" s="4">
        <f t="shared" si="3"/>
        <v>5.4656957039976315E-3</v>
      </c>
      <c r="H18" s="11">
        <f t="shared" si="4"/>
        <v>437255.65631981054</v>
      </c>
      <c r="I18" s="11">
        <f t="shared" si="5"/>
        <v>65588348.447971582</v>
      </c>
      <c r="J18" s="3">
        <f t="shared" si="6"/>
        <v>13.117669689594317</v>
      </c>
      <c r="K18">
        <f t="shared" si="7"/>
        <v>6.5588348447971585</v>
      </c>
    </row>
    <row r="19" spans="1:11">
      <c r="A19" s="1" t="s">
        <v>21</v>
      </c>
      <c r="B19" s="1">
        <v>440</v>
      </c>
      <c r="C19" s="1">
        <f t="shared" si="0"/>
        <v>44</v>
      </c>
      <c r="D19" s="1">
        <f t="shared" si="1"/>
        <v>44000</v>
      </c>
      <c r="E19" s="2">
        <f>D19/6</f>
        <v>7333.333333333333</v>
      </c>
      <c r="F19" s="2">
        <f t="shared" si="2"/>
        <v>29333.333333333332</v>
      </c>
      <c r="G19" s="4">
        <f t="shared" si="3"/>
        <v>7.7833201614291849E-3</v>
      </c>
      <c r="H19" s="11">
        <f t="shared" si="4"/>
        <v>622665.61291433475</v>
      </c>
      <c r="I19" s="11">
        <f t="shared" si="5"/>
        <v>93399841.93715021</v>
      </c>
      <c r="J19" s="3">
        <f t="shared" si="6"/>
        <v>18.679968387430041</v>
      </c>
      <c r="K19">
        <f t="shared" si="7"/>
        <v>9.3399841937150203</v>
      </c>
    </row>
    <row r="20" spans="1:11">
      <c r="A20" s="1" t="s">
        <v>22</v>
      </c>
      <c r="B20" s="1">
        <v>450</v>
      </c>
      <c r="C20" s="1">
        <f t="shared" si="0"/>
        <v>45</v>
      </c>
      <c r="D20" s="1">
        <f t="shared" si="1"/>
        <v>45000</v>
      </c>
      <c r="E20" s="2">
        <f>D20/5.42</f>
        <v>8302.5830258302576</v>
      </c>
      <c r="F20" s="2">
        <f t="shared" si="2"/>
        <v>33210.33210332103</v>
      </c>
      <c r="G20" s="4">
        <f t="shared" si="3"/>
        <v>8.8120447986660515E-3</v>
      </c>
      <c r="H20" s="11">
        <f t="shared" si="4"/>
        <v>704963.58389328409</v>
      </c>
      <c r="I20" s="11">
        <f t="shared" si="5"/>
        <v>105744537.58399262</v>
      </c>
      <c r="J20" s="3">
        <f t="shared" si="6"/>
        <v>21.148907516798523</v>
      </c>
      <c r="K20">
        <f t="shared" si="7"/>
        <v>10.574453758399262</v>
      </c>
    </row>
    <row r="21" spans="1:11">
      <c r="A21" s="1" t="s">
        <v>23</v>
      </c>
      <c r="B21" s="1">
        <v>590</v>
      </c>
      <c r="C21" s="1">
        <f t="shared" si="0"/>
        <v>59</v>
      </c>
      <c r="D21" s="1">
        <f t="shared" si="1"/>
        <v>59000</v>
      </c>
      <c r="E21" s="2">
        <f>D21/2.8</f>
        <v>21071.428571428572</v>
      </c>
      <c r="F21" s="2">
        <f t="shared" si="2"/>
        <v>84285.71428571429</v>
      </c>
      <c r="G21" s="4">
        <f t="shared" si="3"/>
        <v>2.2364410204106587E-2</v>
      </c>
      <c r="H21" s="11">
        <f t="shared" si="4"/>
        <v>1789152.8163285269</v>
      </c>
      <c r="I21" s="11">
        <f t="shared" si="5"/>
        <v>268372922.44927904</v>
      </c>
      <c r="J21" s="3">
        <f t="shared" si="6"/>
        <v>53.67458448985581</v>
      </c>
      <c r="K21">
        <f t="shared" si="7"/>
        <v>26.837292244927905</v>
      </c>
    </row>
    <row r="22" spans="1:11">
      <c r="A22" s="9" t="s">
        <v>30</v>
      </c>
      <c r="B22" s="9">
        <f>SUM(B2:B21)</f>
        <v>33836.1</v>
      </c>
      <c r="C22" s="9"/>
      <c r="D22" s="9"/>
      <c r="E22" s="12"/>
      <c r="F22" s="12">
        <f>SUM(F2:F21)</f>
        <v>3768742.994628028</v>
      </c>
      <c r="G22" s="13">
        <f t="shared" ref="G22" si="8">F22/F$22</f>
        <v>1</v>
      </c>
      <c r="H22" s="14"/>
      <c r="I22" s="14"/>
      <c r="J22" s="15"/>
      <c r="K22" s="16"/>
    </row>
  </sheetData>
  <sortState ref="A2:K21">
    <sortCondition ref="G2:G2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Watts</dc:creator>
  <cp:lastModifiedBy>James Thornton</cp:lastModifiedBy>
  <dcterms:created xsi:type="dcterms:W3CDTF">2017-03-24T20:29:28Z</dcterms:created>
  <dcterms:modified xsi:type="dcterms:W3CDTF">2017-07-14T20:35:30Z</dcterms:modified>
</cp:coreProperties>
</file>