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ayn\Desktop\"/>
    </mc:Choice>
  </mc:AlternateContent>
  <xr:revisionPtr revIDLastSave="0" documentId="13_ncr:1_{E5239D18-8CDF-42ED-9EDE-39C8B0A5577F}" xr6:coauthVersionLast="47" xr6:coauthVersionMax="47" xr10:uidLastSave="{00000000-0000-0000-0000-000000000000}"/>
  <bookViews>
    <workbookView xWindow="-108" yWindow="-108" windowWidth="23256" windowHeight="12456" activeTab="5" xr2:uid="{C4B891D9-4AAD-4DA8-84C0-36C87B9B7042}"/>
  </bookViews>
  <sheets>
    <sheet name="Buildig Geometry" sheetId="1" r:id="rId1"/>
    <sheet name="Loads" sheetId="2" r:id="rId2"/>
    <sheet name="Material Properties" sheetId="3" r:id="rId3"/>
    <sheet name="Design Par." sheetId="4" r:id="rId4"/>
    <sheet name="Analysis" sheetId="5" r:id="rId5"/>
    <sheet name="Design Coupling Beams" sheetId="6" r:id="rId6"/>
  </sheets>
  <definedNames>
    <definedName name="Ac">Analysis!$B$3</definedName>
    <definedName name="Ac.cb">Analysis!$F$3</definedName>
    <definedName name="As">Analysis!$B$2</definedName>
    <definedName name="As.cb">Analysis!$F$2</definedName>
    <definedName name="Asw">Analysis!$B$4</definedName>
    <definedName name="Asw.cb">Analysis!$F$4</definedName>
    <definedName name="b.cb">'Design Par.'!$B$6</definedName>
    <definedName name="bc.CB">'Design Coupling Beams'!$H$3</definedName>
    <definedName name="C_1.exp">'Design Coupling Beams'!$B$5</definedName>
    <definedName name="C_2.exp">'Design Coupling Beams'!$B$6</definedName>
    <definedName name="C_3.cb">Analysis!$F$7</definedName>
    <definedName name="C_3.exp">'Design Coupling Beams'!$B$7</definedName>
    <definedName name="C_CB.exp">'Design Coupling Beams'!$B$4</definedName>
    <definedName name="Cd">Loads!$F$1</definedName>
    <definedName name="DL">Loads!$B$1</definedName>
    <definedName name="EAuncr.CB">Analysis!$F$10</definedName>
    <definedName name="Ec">'Material Properties'!$B$7</definedName>
    <definedName name="EI.eff.CB">Analysis!$F$9</definedName>
    <definedName name="Es">'Material Properties'!$B$1</definedName>
    <definedName name="fpc">'Material Properties'!$B$6</definedName>
    <definedName name="Fu">'Material Properties'!$B$4</definedName>
    <definedName name="Fy">'Material Properties'!$B$3</definedName>
    <definedName name="GAv.eff.CB">Analysis!$F$11</definedName>
    <definedName name="Gc">'Material Properties'!$B$8</definedName>
    <definedName name="Gs">'Material Properties'!$B$2</definedName>
    <definedName name="h.cb">'Design Par.'!$B$7</definedName>
    <definedName name="h_1">'Buildig Geometry'!$B$4</definedName>
    <definedName name="h_typ">'Buildig Geometry'!$B$3</definedName>
    <definedName name="hc.CB">'Design Coupling Beams'!$H$4</definedName>
    <definedName name="Ic">Analysis!$B$6</definedName>
    <definedName name="Ic.CB">Analysis!$F$6</definedName>
    <definedName name="Ie">Loads!$F$2</definedName>
    <definedName name="Is">Analysis!$B$5</definedName>
    <definedName name="Is.CB">Analysis!$F$5</definedName>
    <definedName name="L.cb">'Design Par.'!$B$5</definedName>
    <definedName name="lam.pf">'Design Coupling Beams'!$H$5</definedName>
    <definedName name="Lcb">'Design Par.'!$B$5</definedName>
    <definedName name="Lf">'Buildig Geometry'!$B$1</definedName>
    <definedName name="Lw">'Design Par.'!$B$1</definedName>
    <definedName name="Mr.CB">Analysis!$J$3</definedName>
    <definedName name="n">'Buildig Geometry'!$B$5</definedName>
    <definedName name="Omg">Loads!$F$4</definedName>
    <definedName name="OTM">Loads!$C$16</definedName>
    <definedName name="Rcon">'Material Properties'!$B$9</definedName>
    <definedName name="Rfactor">Loads!$F$3</definedName>
    <definedName name="Ry">'Material Properties'!$B$5</definedName>
    <definedName name="T_1.exp">'Design Coupling Beams'!$B$8</definedName>
    <definedName name="T_2.exp">'Design Coupling Beams'!$B$9</definedName>
    <definedName name="tc.CB">'Design Coupling Beams'!$B$3</definedName>
    <definedName name="tp">'Design Par.'!$B$2</definedName>
    <definedName name="tpfCB">'Design Par.'!$B$8</definedName>
    <definedName name="tpwCB">'Design Par.'!$B$9</definedName>
    <definedName name="tsc">'Design Par.'!$B$3</definedName>
    <definedName name="Vamp">Analysis!$J$5</definedName>
    <definedName name="Vbase">Loads!$C$15</definedName>
    <definedName name="Vr.CB">Analysis!$J$2</definedName>
    <definedName name="Wf">'Buildig Geometry'!$B$2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H6" i="6"/>
  <c r="H7" i="6"/>
  <c r="H5" i="6"/>
  <c r="H4" i="6"/>
  <c r="H3" i="6"/>
  <c r="E4" i="6"/>
  <c r="E3" i="6"/>
  <c r="B8" i="6"/>
  <c r="B5" i="6"/>
  <c r="B4" i="6"/>
  <c r="B6" i="6" s="1"/>
  <c r="B3" i="6"/>
  <c r="J6" i="5"/>
  <c r="J5" i="5"/>
  <c r="J3" i="5"/>
  <c r="F10" i="5"/>
  <c r="F9" i="5"/>
  <c r="F11" i="5"/>
  <c r="F4" i="5"/>
  <c r="F6" i="5"/>
  <c r="F5" i="5"/>
  <c r="F3" i="5"/>
  <c r="F2" i="5"/>
  <c r="B9" i="5"/>
  <c r="B6" i="5"/>
  <c r="B5" i="5"/>
  <c r="B4" i="5"/>
  <c r="B2" i="5"/>
  <c r="B3" i="5" s="1" a="1"/>
  <c r="B3" i="5" s="1"/>
  <c r="B1" i="5"/>
  <c r="D8" i="2"/>
  <c r="D9" i="2"/>
  <c r="D10" i="2"/>
  <c r="D11" i="2"/>
  <c r="D12" i="2"/>
  <c r="D13" i="2"/>
  <c r="D14" i="2"/>
  <c r="D7" i="2"/>
  <c r="C16" i="2" s="1"/>
  <c r="C15" i="2"/>
  <c r="B12" i="2"/>
  <c r="B11" i="2" s="1"/>
  <c r="B10" i="2" s="1"/>
  <c r="B9" i="2" s="1"/>
  <c r="B8" i="2" s="1"/>
  <c r="B7" i="2" s="1"/>
  <c r="B13" i="2"/>
  <c r="B9" i="4"/>
  <c r="B2" i="4"/>
  <c r="B7" i="6" l="1"/>
  <c r="B9" i="6"/>
  <c r="B11" i="6" s="1"/>
  <c r="F7" i="5"/>
  <c r="B10" i="5"/>
  <c r="B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<sst xmlns="http://schemas.openxmlformats.org/spreadsheetml/2006/main" count="117" uniqueCount="84">
  <si>
    <t>Lf =</t>
  </si>
  <si>
    <t>Wf =</t>
  </si>
  <si>
    <t>h_typ =</t>
  </si>
  <si>
    <t>h1 =</t>
  </si>
  <si>
    <t xml:space="preserve">n = </t>
  </si>
  <si>
    <t>DL_floor =</t>
  </si>
  <si>
    <t>ksf</t>
  </si>
  <si>
    <t>ft</t>
  </si>
  <si>
    <t>Es =</t>
  </si>
  <si>
    <t>Gs =</t>
  </si>
  <si>
    <t>fpc =</t>
  </si>
  <si>
    <t>Ec =</t>
  </si>
  <si>
    <t>Gc =</t>
  </si>
  <si>
    <t>Rc =</t>
  </si>
  <si>
    <t>Cd =</t>
  </si>
  <si>
    <t>Ie =</t>
  </si>
  <si>
    <t>R =</t>
  </si>
  <si>
    <t>Omg =</t>
  </si>
  <si>
    <t>Fy =</t>
  </si>
  <si>
    <t>Fu =</t>
  </si>
  <si>
    <t>Ry =</t>
  </si>
  <si>
    <t>in</t>
  </si>
  <si>
    <t>ksi</t>
  </si>
  <si>
    <t>L.w =</t>
  </si>
  <si>
    <t>t.p =</t>
  </si>
  <si>
    <t>t.sc =</t>
  </si>
  <si>
    <t>L.cb =</t>
  </si>
  <si>
    <t>b.cb =</t>
  </si>
  <si>
    <t>h.cb =</t>
  </si>
  <si>
    <t>t.pf.CB =</t>
  </si>
  <si>
    <t>t.pw.CB =</t>
  </si>
  <si>
    <t>Story No.</t>
  </si>
  <si>
    <t>Elev. (ft)</t>
  </si>
  <si>
    <t>F (kip)</t>
  </si>
  <si>
    <t>OTMS (kip-in)</t>
  </si>
  <si>
    <t>Base Shear (kip) =</t>
  </si>
  <si>
    <t>OTM (kip-in) =</t>
  </si>
  <si>
    <t>Leff =</t>
  </si>
  <si>
    <t>As =</t>
  </si>
  <si>
    <t>in2</t>
  </si>
  <si>
    <t>Ac =</t>
  </si>
  <si>
    <t>EA.eff =</t>
  </si>
  <si>
    <t>Asw =</t>
  </si>
  <si>
    <t>GAv.eff =</t>
  </si>
  <si>
    <t>Is =</t>
  </si>
  <si>
    <t>Ic =</t>
  </si>
  <si>
    <t>EI.eff =</t>
  </si>
  <si>
    <t>in3</t>
  </si>
  <si>
    <t>in4</t>
  </si>
  <si>
    <t>kip-in2</t>
  </si>
  <si>
    <t>As.cb =</t>
  </si>
  <si>
    <t>EAuncr.CB =</t>
  </si>
  <si>
    <t xml:space="preserve">Is.CB = </t>
  </si>
  <si>
    <t xml:space="preserve">Ic.CB = </t>
  </si>
  <si>
    <t>C3.cb =</t>
  </si>
  <si>
    <t>Asw.cb =</t>
  </si>
  <si>
    <t>EI.eff.CB =</t>
  </si>
  <si>
    <t>kip</t>
  </si>
  <si>
    <t>GAv.eff.CB =</t>
  </si>
  <si>
    <t>Vr.CB =</t>
  </si>
  <si>
    <t>Mr.CB =</t>
  </si>
  <si>
    <t>kip-in</t>
  </si>
  <si>
    <t>Vamp =</t>
  </si>
  <si>
    <t>Vr.wall =</t>
  </si>
  <si>
    <t>Check 1: Flexure-Criticality</t>
  </si>
  <si>
    <t>tc.CB =</t>
  </si>
  <si>
    <t>C_CB.exp =</t>
  </si>
  <si>
    <t>C1.exp =</t>
  </si>
  <si>
    <t>C2.exp =</t>
  </si>
  <si>
    <t>C3.exp =</t>
  </si>
  <si>
    <t>T1.exp =</t>
  </si>
  <si>
    <t>T2.exp =</t>
  </si>
  <si>
    <t>Mp.exp.CB =</t>
  </si>
  <si>
    <t>Check 2: As,min</t>
  </si>
  <si>
    <t>AsCB.min =</t>
  </si>
  <si>
    <t>As.CB =</t>
  </si>
  <si>
    <t>OK</t>
  </si>
  <si>
    <t>bc.CB =</t>
  </si>
  <si>
    <t>Check 3: Slenderness of CB Plates</t>
  </si>
  <si>
    <t>hc.CB =</t>
  </si>
  <si>
    <t>lam.pf =</t>
  </si>
  <si>
    <t>lam.pw =</t>
  </si>
  <si>
    <t>lam.pfP =</t>
  </si>
  <si>
    <t>lam.pwP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</si>
</sst>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AE27-2DB1-40F3-A746-B8D6465DB64A}">
  <dimension ref="A1:C5"/>
  <sheetViews>
    <sheetView workbookViewId="0">
      <selection activeCell="D2" sqref="D2"/>
    </sheetView>
  </sheetViews>
  <sheetFormatPr defaultRowHeight="14.4" x14ac:dyDescent="0.3"/>
  <cols>
    <col min="1" max="1" width="8.88671875" style="1"/>
    <col min="2" max="2" width="8.88671875" style="3"/>
    <col min="3" max="3" width="2.33203125" style="2" bestFit="1" customWidth="1"/>
    <col min="4" max="16384" width="8.88671875" style="2"/>
  </cols>
  <sheetData>
    <row r="1" spans="1:3" x14ac:dyDescent="0.3">
      <c r="A1" s="1" t="s">
        <v>0</v>
      </c>
      <c r="B1" s="3">
        <v>200</v>
      </c>
      <c r="C1" s="2" t="s">
        <v>7</v>
      </c>
    </row>
    <row r="2" spans="1:3" x14ac:dyDescent="0.3">
      <c r="A2" s="1" t="s">
        <v>1</v>
      </c>
      <c r="B2" s="3">
        <v>120</v>
      </c>
      <c r="C2" s="2" t="s">
        <v>7</v>
      </c>
    </row>
    <row r="3" spans="1:3" x14ac:dyDescent="0.3">
      <c r="A3" s="1" t="s">
        <v>2</v>
      </c>
      <c r="B3" s="3">
        <v>14</v>
      </c>
      <c r="C3" s="2" t="s">
        <v>7</v>
      </c>
    </row>
    <row r="4" spans="1:3" x14ac:dyDescent="0.3">
      <c r="A4" s="1" t="s">
        <v>3</v>
      </c>
      <c r="B4" s="3">
        <v>17</v>
      </c>
      <c r="C4" s="2" t="s">
        <v>7</v>
      </c>
    </row>
    <row r="5" spans="1:3" x14ac:dyDescent="0.3">
      <c r="A5" s="1" t="s">
        <v>4</v>
      </c>
      <c r="B5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749C-6A9E-4BEE-9866-8788B2C27D7B}">
  <dimension ref="A1:F16"/>
  <sheetViews>
    <sheetView workbookViewId="0">
      <selection activeCell="C16" sqref="C16:D16"/>
    </sheetView>
  </sheetViews>
  <sheetFormatPr defaultRowHeight="14.4" x14ac:dyDescent="0.3"/>
  <cols>
    <col min="1" max="1" width="8.88671875" style="1"/>
    <col min="2" max="2" width="8.88671875" style="3"/>
    <col min="3" max="4" width="8.88671875" style="2"/>
    <col min="5" max="5" width="8.88671875" style="1"/>
    <col min="6" max="16384" width="8.88671875" style="2"/>
  </cols>
  <sheetData>
    <row r="1" spans="1:6" x14ac:dyDescent="0.3">
      <c r="A1" s="1" t="s">
        <v>5</v>
      </c>
      <c r="B1" s="3">
        <v>0.12</v>
      </c>
      <c r="C1" s="2" t="s">
        <v>6</v>
      </c>
      <c r="E1" s="1" t="s">
        <v>14</v>
      </c>
      <c r="F1" s="2">
        <v>5.5</v>
      </c>
    </row>
    <row r="2" spans="1:6" x14ac:dyDescent="0.3">
      <c r="E2" s="1" t="s">
        <v>15</v>
      </c>
      <c r="F2" s="2">
        <v>1</v>
      </c>
    </row>
    <row r="3" spans="1:6" x14ac:dyDescent="0.3">
      <c r="E3" s="1" t="s">
        <v>16</v>
      </c>
      <c r="F3" s="2">
        <v>8</v>
      </c>
    </row>
    <row r="4" spans="1:6" x14ac:dyDescent="0.3">
      <c r="E4" s="1" t="s">
        <v>17</v>
      </c>
      <c r="F4" s="2">
        <v>2.5</v>
      </c>
    </row>
    <row r="6" spans="1:6" x14ac:dyDescent="0.3">
      <c r="A6" s="1" t="s">
        <v>31</v>
      </c>
      <c r="B6" s="3" t="s">
        <v>32</v>
      </c>
      <c r="C6" s="2" t="s">
        <v>33</v>
      </c>
      <c r="D6" s="2" t="s">
        <v>34</v>
      </c>
    </row>
    <row r="7" spans="1:6" x14ac:dyDescent="0.3">
      <c r="A7" s="1">
        <v>8</v>
      </c>
      <c r="B7" s="3">
        <f t="shared" ref="B7:B12" si="0">14+B8</f>
        <v>115</v>
      </c>
      <c r="C7" s="2">
        <v>211</v>
      </c>
      <c r="D7" s="2">
        <f>C7*B7*12</f>
        <v>291180</v>
      </c>
    </row>
    <row r="8" spans="1:6" x14ac:dyDescent="0.3">
      <c r="A8" s="1">
        <v>7</v>
      </c>
      <c r="B8" s="3">
        <f t="shared" si="0"/>
        <v>101</v>
      </c>
      <c r="C8" s="2">
        <v>180</v>
      </c>
      <c r="D8" s="2">
        <f t="shared" ref="D8:D14" si="1">C8*B8*12</f>
        <v>218160</v>
      </c>
    </row>
    <row r="9" spans="1:6" x14ac:dyDescent="0.3">
      <c r="A9" s="1">
        <v>6</v>
      </c>
      <c r="B9" s="3">
        <f t="shared" si="0"/>
        <v>87</v>
      </c>
      <c r="C9" s="2">
        <v>149</v>
      </c>
      <c r="D9" s="2">
        <f t="shared" si="1"/>
        <v>155556</v>
      </c>
    </row>
    <row r="10" spans="1:6" x14ac:dyDescent="0.3">
      <c r="A10" s="1">
        <v>5</v>
      </c>
      <c r="B10" s="3">
        <f t="shared" si="0"/>
        <v>73</v>
      </c>
      <c r="C10" s="2">
        <v>120</v>
      </c>
      <c r="D10" s="2">
        <f t="shared" si="1"/>
        <v>105120</v>
      </c>
    </row>
    <row r="11" spans="1:6" x14ac:dyDescent="0.3">
      <c r="A11" s="1">
        <v>4</v>
      </c>
      <c r="B11" s="3">
        <f t="shared" si="0"/>
        <v>59</v>
      </c>
      <c r="C11" s="2">
        <v>92.1</v>
      </c>
      <c r="D11" s="2">
        <f t="shared" si="1"/>
        <v>65206.799999999996</v>
      </c>
    </row>
    <row r="12" spans="1:6" x14ac:dyDescent="0.3">
      <c r="A12" s="1">
        <v>3</v>
      </c>
      <c r="B12" s="3">
        <f t="shared" si="0"/>
        <v>45</v>
      </c>
      <c r="C12" s="2">
        <v>65.8</v>
      </c>
      <c r="D12" s="2">
        <f t="shared" si="1"/>
        <v>35532</v>
      </c>
    </row>
    <row r="13" spans="1:6" x14ac:dyDescent="0.3">
      <c r="A13" s="1">
        <v>2</v>
      </c>
      <c r="B13" s="3">
        <f>14+B14</f>
        <v>31</v>
      </c>
      <c r="C13" s="2">
        <v>41.4</v>
      </c>
      <c r="D13" s="2">
        <f t="shared" si="1"/>
        <v>15400.8</v>
      </c>
    </row>
    <row r="14" spans="1:6" x14ac:dyDescent="0.3">
      <c r="A14" s="1">
        <v>1</v>
      </c>
      <c r="B14" s="3">
        <v>17</v>
      </c>
      <c r="C14" s="2">
        <v>19.600000000000001</v>
      </c>
      <c r="D14" s="2">
        <f t="shared" si="1"/>
        <v>3998.4000000000005</v>
      </c>
    </row>
    <row r="15" spans="1:6" x14ac:dyDescent="0.3">
      <c r="A15" s="4" t="s">
        <v>35</v>
      </c>
      <c r="B15" s="4"/>
      <c r="C15" s="4">
        <f>SUM(C7:C14)</f>
        <v>878.9</v>
      </c>
      <c r="D15" s="4"/>
    </row>
    <row r="16" spans="1:6" x14ac:dyDescent="0.3">
      <c r="A16" s="4" t="s">
        <v>36</v>
      </c>
      <c r="B16" s="4"/>
      <c r="C16" s="4">
        <f>SUM(D7:D14)</f>
        <v>890154.00000000012</v>
      </c>
      <c r="D16" s="4"/>
    </row>
  </sheetData>
  <mergeCells count="4">
    <mergeCell ref="A15:B15"/>
    <mergeCell ref="C15:D15"/>
    <mergeCell ref="A16:B16"/>
    <mergeCell ref="C16:D16"/>
  </mergeCells>
  <conditionalFormatting sqref="B7:B1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{CAEE1059-DA08-41BC-B8C8-FFA97CC989D0}</x14:id>
        </ext>
      </extLst>
    </cfRule>
  </conditionalFormatting>
  <conditionalFormatting sqref="C7:C14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{B411B050-17A5-419A-9DB0-4181EE6FB57D}</x14:id>
        </ext>
      </extLst>
    </cfRule>
  </conditionalFormatting>
  <conditionalFormatting sqref="D7:D1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{778AE624-C611-4DE9-8AFB-A5C6C251F9E5}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EE1059-DA08-41BC-B8C8-FFA97CC989D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B7:B14</xm:sqref>
        </x14:conditionalFormatting>
        <x14:conditionalFormatting xmlns:xm="http://schemas.microsoft.com/office/excel/2006/main">
          <x14:cfRule type="dataBar" id="{B411B050-17A5-419A-9DB0-4181EE6FB57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778AE624-C611-4DE9-8AFB-A5C6C251F9E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6D9F-317C-4E63-BDEF-3034C318E135}">
  <dimension ref="A1:C9"/>
  <sheetViews>
    <sheetView workbookViewId="0">
      <selection activeCell="C5" sqref="C5"/>
    </sheetView>
  </sheetViews>
  <sheetFormatPr defaultRowHeight="14.4" x14ac:dyDescent="0.3"/>
  <cols>
    <col min="1" max="1" width="8.88671875" style="1"/>
    <col min="2" max="2" width="8.88671875" style="3"/>
    <col min="3" max="16384" width="8.88671875" style="2"/>
  </cols>
  <sheetData>
    <row r="1" spans="1:3" x14ac:dyDescent="0.3">
      <c r="A1" s="1" t="s">
        <v>8</v>
      </c>
      <c r="B1" s="3">
        <v>29000</v>
      </c>
      <c r="C1" s="2" t="s">
        <v>22</v>
      </c>
    </row>
    <row r="2" spans="1:3" x14ac:dyDescent="0.3">
      <c r="A2" s="1" t="s">
        <v>9</v>
      </c>
      <c r="B2" s="3">
        <v>11200</v>
      </c>
      <c r="C2" s="2" t="s">
        <v>22</v>
      </c>
    </row>
    <row r="3" spans="1:3" x14ac:dyDescent="0.3">
      <c r="A3" s="1" t="s">
        <v>18</v>
      </c>
      <c r="B3" s="3">
        <v>50</v>
      </c>
      <c r="C3" s="2" t="s">
        <v>22</v>
      </c>
    </row>
    <row r="4" spans="1:3" x14ac:dyDescent="0.3">
      <c r="A4" s="1" t="s">
        <v>19</v>
      </c>
      <c r="B4" s="3">
        <v>65</v>
      </c>
      <c r="C4" s="2" t="s">
        <v>22</v>
      </c>
    </row>
    <row r="5" spans="1:3" x14ac:dyDescent="0.3">
      <c r="A5" s="1" t="s">
        <v>20</v>
      </c>
      <c r="B5" s="3">
        <v>1.1000000000000001</v>
      </c>
    </row>
    <row r="6" spans="1:3" x14ac:dyDescent="0.3">
      <c r="A6" s="1" t="s">
        <v>10</v>
      </c>
      <c r="B6" s="3">
        <v>6</v>
      </c>
      <c r="C6" s="2" t="s">
        <v>22</v>
      </c>
    </row>
    <row r="7" spans="1:3" x14ac:dyDescent="0.3">
      <c r="A7" s="1" t="s">
        <v>11</v>
      </c>
      <c r="B7" s="3">
        <v>4500</v>
      </c>
      <c r="C7" s="2" t="s">
        <v>22</v>
      </c>
    </row>
    <row r="8" spans="1:3" x14ac:dyDescent="0.3">
      <c r="A8" s="1" t="s">
        <v>12</v>
      </c>
      <c r="B8" s="3">
        <v>1800</v>
      </c>
      <c r="C8" s="2" t="s">
        <v>22</v>
      </c>
    </row>
    <row r="9" spans="1:3" x14ac:dyDescent="0.3">
      <c r="A9" s="1" t="s">
        <v>13</v>
      </c>
      <c r="B9" s="3">
        <v>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54FE-4B16-4732-A8F1-187254A73F38}">
  <dimension ref="A1:C9"/>
  <sheetViews>
    <sheetView workbookViewId="0">
      <selection activeCell="F5" sqref="F5"/>
    </sheetView>
  </sheetViews>
  <sheetFormatPr defaultRowHeight="14.4" x14ac:dyDescent="0.3"/>
  <cols>
    <col min="1" max="1" width="8.88671875" style="1"/>
    <col min="2" max="16384" width="8.88671875" style="2"/>
  </cols>
  <sheetData>
    <row r="1" spans="1:3" x14ac:dyDescent="0.3">
      <c r="A1" s="1" t="s">
        <v>23</v>
      </c>
      <c r="B1" s="2">
        <v>132</v>
      </c>
      <c r="C1" s="2" t="s">
        <v>21</v>
      </c>
    </row>
    <row r="2" spans="1:3" x14ac:dyDescent="0.3">
      <c r="A2" s="1" t="s">
        <v>24</v>
      </c>
      <c r="B2" s="2">
        <f>9/16</f>
        <v>0.5625</v>
      </c>
      <c r="C2" s="2" t="s">
        <v>21</v>
      </c>
    </row>
    <row r="3" spans="1:3" x14ac:dyDescent="0.3">
      <c r="A3" s="1" t="s">
        <v>25</v>
      </c>
      <c r="B3" s="2">
        <v>24</v>
      </c>
      <c r="C3" s="2" t="s">
        <v>21</v>
      </c>
    </row>
    <row r="5" spans="1:3" x14ac:dyDescent="0.3">
      <c r="A5" s="1" t="s">
        <v>26</v>
      </c>
      <c r="B5" s="2">
        <v>96</v>
      </c>
      <c r="C5" s="2" t="s">
        <v>21</v>
      </c>
    </row>
    <row r="6" spans="1:3" x14ac:dyDescent="0.3">
      <c r="A6" s="1" t="s">
        <v>27</v>
      </c>
      <c r="B6" s="2">
        <v>24</v>
      </c>
      <c r="C6" s="2" t="s">
        <v>21</v>
      </c>
    </row>
    <row r="7" spans="1:3" x14ac:dyDescent="0.3">
      <c r="A7" s="1" t="s">
        <v>28</v>
      </c>
      <c r="B7" s="2">
        <v>24</v>
      </c>
      <c r="C7" s="2" t="s">
        <v>21</v>
      </c>
    </row>
    <row r="8" spans="1:3" x14ac:dyDescent="0.3">
      <c r="A8" s="1" t="s">
        <v>29</v>
      </c>
      <c r="B8" s="2">
        <v>0.5</v>
      </c>
      <c r="C8" s="2" t="s">
        <v>21</v>
      </c>
    </row>
    <row r="9" spans="1:3" x14ac:dyDescent="0.3">
      <c r="A9" s="1" t="s">
        <v>30</v>
      </c>
      <c r="B9" s="2">
        <f>3/8</f>
        <v>0.375</v>
      </c>
      <c r="C9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B29A-08C4-410C-ADA1-6B0E19858B5E}">
  <dimension ref="A1:K11"/>
  <sheetViews>
    <sheetView workbookViewId="0">
      <selection activeCell="J7" sqref="J7"/>
    </sheetView>
  </sheetViews>
  <sheetFormatPr defaultRowHeight="14.4" x14ac:dyDescent="0.3"/>
  <cols>
    <col min="1" max="1" width="8.88671875" style="1"/>
    <col min="2" max="2" width="12" style="3" bestFit="1" customWidth="1"/>
    <col min="3" max="4" width="8.88671875" style="2"/>
    <col min="5" max="5" width="10.88671875" style="1" bestFit="1" customWidth="1"/>
    <col min="6" max="6" width="12" style="3" bestFit="1" customWidth="1"/>
    <col min="7" max="8" width="8.88671875" style="2"/>
    <col min="9" max="9" width="8.88671875" style="1"/>
    <col min="10" max="10" width="8.88671875" style="3"/>
    <col min="11" max="16384" width="8.88671875" style="2"/>
  </cols>
  <sheetData>
    <row r="1" spans="1:11" x14ac:dyDescent="0.3">
      <c r="A1" s="1" t="s">
        <v>37</v>
      </c>
      <c r="B1" s="3">
        <f>(L.cb + Lw)/12</f>
        <v>19</v>
      </c>
      <c r="C1" s="2" t="s">
        <v>7</v>
      </c>
    </row>
    <row r="2" spans="1:11" x14ac:dyDescent="0.3">
      <c r="A2" s="1" t="s">
        <v>38</v>
      </c>
      <c r="B2" s="5">
        <f>2*tp*((Lw-2*tp) + tsc)</f>
        <v>174.234375</v>
      </c>
      <c r="C2" s="2" t="s">
        <v>39</v>
      </c>
      <c r="E2" s="1" t="s">
        <v>50</v>
      </c>
      <c r="F2" s="3">
        <f>2*(
tpfCB*b.cb
+
tpwCB*(h.cb-2*tpfCB)
)</f>
        <v>41.25</v>
      </c>
      <c r="G2" s="2" t="s">
        <v>39</v>
      </c>
      <c r="I2" s="1" t="s">
        <v>59</v>
      </c>
      <c r="J2" s="3">
        <v>324</v>
      </c>
      <c r="K2" s="2" t="s">
        <v>57</v>
      </c>
    </row>
    <row r="3" spans="1:11" x14ac:dyDescent="0.3">
      <c r="A3" s="1" t="s">
        <v>40</v>
      </c>
      <c r="B3" s="3" cm="1">
        <f t="array" ref="B3">Lw*tsc - As</f>
        <v>2993.765625</v>
      </c>
      <c r="C3" s="2" t="s">
        <v>39</v>
      </c>
      <c r="E3" s="1" t="s">
        <v>50</v>
      </c>
      <c r="F3" s="3">
        <f xml:space="preserve"> (b.cb - 2*tpwCB) * (h.cb - 2*tpfCB)</f>
        <v>534.75</v>
      </c>
      <c r="G3" s="2" t="s">
        <v>39</v>
      </c>
      <c r="I3" s="1" t="s">
        <v>60</v>
      </c>
      <c r="J3" s="3">
        <f>Vr.CB*L.cb/2</f>
        <v>15552</v>
      </c>
      <c r="K3" s="2" t="s">
        <v>61</v>
      </c>
    </row>
    <row r="4" spans="1:11" x14ac:dyDescent="0.3">
      <c r="A4" s="1" t="s">
        <v>42</v>
      </c>
      <c r="B4" s="3">
        <f>2*Lw*tp</f>
        <v>148.5</v>
      </c>
      <c r="C4" s="2" t="s">
        <v>39</v>
      </c>
      <c r="E4" s="1" t="s">
        <v>55</v>
      </c>
      <c r="F4" s="3">
        <f xml:space="preserve"> 2*h.cb*tpwCB</f>
        <v>18</v>
      </c>
      <c r="G4" s="2" t="s">
        <v>47</v>
      </c>
    </row>
    <row r="5" spans="1:11" x14ac:dyDescent="0.3">
      <c r="A5" s="1" t="s">
        <v>44</v>
      </c>
      <c r="B5" s="3">
        <f>2*((tp*(Lw-2*tp)^3)/12) + 2*(tsc*tp^3/12 + tsc*tp*((Lw-tp)/2)^2)</f>
        <v>326768.26300048828</v>
      </c>
      <c r="C5" s="2" t="s">
        <v>48</v>
      </c>
      <c r="E5" s="1" t="s">
        <v>52</v>
      </c>
      <c r="F5" s="3">
        <f>2*((tpwCB*(h.cb-2*tpfCB)^3)/12) + 2*(b.cb*tpfCB^3/12 + b.cb*tpfCB*((h.cb-tpfCB)/2)^2)</f>
        <v>4074.4375</v>
      </c>
      <c r="G5" s="2" t="s">
        <v>48</v>
      </c>
      <c r="I5" s="1" t="s">
        <v>62</v>
      </c>
      <c r="J5" s="3">
        <f>4*Vbase</f>
        <v>3515.6</v>
      </c>
      <c r="K5" s="2" t="s">
        <v>57</v>
      </c>
    </row>
    <row r="6" spans="1:11" x14ac:dyDescent="0.3">
      <c r="A6" s="1" t="s">
        <v>45</v>
      </c>
      <c r="B6" s="3">
        <f>(tsc-2*tp)*(Lw-2*tp)^3/12</f>
        <v>4273167.7369995117</v>
      </c>
      <c r="C6" s="2" t="s">
        <v>48</v>
      </c>
      <c r="E6" s="1" t="s">
        <v>53</v>
      </c>
      <c r="F6" s="3">
        <f>(b.cb-2*tpwCB)*(h.cb-2*tpfCB)^3/12</f>
        <v>23573.5625</v>
      </c>
      <c r="G6" s="2" t="s">
        <v>48</v>
      </c>
      <c r="I6" s="1" t="s">
        <v>63</v>
      </c>
      <c r="J6" s="3">
        <f>Vamp/2</f>
        <v>1757.8</v>
      </c>
    </row>
    <row r="7" spans="1:11" x14ac:dyDescent="0.3">
      <c r="E7" s="1" t="s">
        <v>54</v>
      </c>
      <c r="F7" s="3">
        <f>MIN(0.9, 0.45+3*(As.cb/(b.cb*h.cb)))</f>
        <v>0.66484374999999996</v>
      </c>
    </row>
    <row r="9" spans="1:11" x14ac:dyDescent="0.3">
      <c r="A9" s="1" t="s">
        <v>46</v>
      </c>
      <c r="B9" s="3">
        <f>Es*Is + 0.35*Ec*Ic</f>
        <v>16206518812.788391</v>
      </c>
      <c r="C9" s="2" t="s">
        <v>49</v>
      </c>
      <c r="E9" s="1" t="s">
        <v>56</v>
      </c>
      <c r="F9" s="3">
        <f>0.64*(Es*Is.CB + C_3.cb*Ec*Ic.CB)</f>
        <v>120759038.796875</v>
      </c>
      <c r="G9" s="2" t="s">
        <v>49</v>
      </c>
    </row>
    <row r="10" spans="1:11" x14ac:dyDescent="0.3">
      <c r="A10" s="1" t="s">
        <v>41</v>
      </c>
      <c r="B10" s="3">
        <f>Es*As + 0.45*Ec*Ac</f>
        <v>11115172.265625</v>
      </c>
      <c r="C10" s="2" t="s">
        <v>57</v>
      </c>
      <c r="E10" s="1" t="s">
        <v>51</v>
      </c>
      <c r="F10" s="3">
        <f xml:space="preserve"> 0.8*(Es*As.cb + Ec*Ac.cb)</f>
        <v>2882100</v>
      </c>
      <c r="G10" s="2" t="s">
        <v>57</v>
      </c>
    </row>
    <row r="11" spans="1:11" x14ac:dyDescent="0.3">
      <c r="A11" s="1" t="s">
        <v>43</v>
      </c>
      <c r="B11" s="3">
        <f>Gs*As + Gc*Ac</f>
        <v>7340203.125</v>
      </c>
      <c r="C11" s="2" t="s">
        <v>57</v>
      </c>
      <c r="E11" s="1" t="s">
        <v>58</v>
      </c>
      <c r="F11" s="3">
        <f xml:space="preserve"> Gs*Asw.cb + Gc*Ac.cb</f>
        <v>1164150</v>
      </c>
      <c r="G11" s="2" t="s">
        <v>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A6EF-9A28-45F5-B9D2-F7C886800090}">
  <dimension ref="A1:I11"/>
  <sheetViews>
    <sheetView tabSelected="1" workbookViewId="0">
      <selection activeCell="J6" sqref="J6"/>
    </sheetView>
  </sheetViews>
  <sheetFormatPr defaultRowHeight="14.4" x14ac:dyDescent="0.3"/>
  <cols>
    <col min="1" max="1" width="11.6640625" style="1" customWidth="1"/>
    <col min="2" max="2" width="8.88671875" style="3"/>
    <col min="3" max="3" width="8.88671875" style="2"/>
    <col min="4" max="4" width="10.109375" style="1" bestFit="1" customWidth="1"/>
    <col min="5" max="5" width="8.88671875" style="3"/>
    <col min="6" max="6" width="8.88671875" style="2"/>
    <col min="7" max="7" width="8.88671875" style="1"/>
    <col min="8" max="8" width="8.88671875" style="3"/>
    <col min="9" max="9" width="10.21875" style="2" customWidth="1"/>
    <col min="10" max="16384" width="8.88671875" style="2"/>
  </cols>
  <sheetData>
    <row r="1" spans="1:9" x14ac:dyDescent="0.3">
      <c r="A1" s="4" t="s">
        <v>64</v>
      </c>
      <c r="B1" s="4"/>
      <c r="C1" s="4"/>
      <c r="D1" s="4" t="s">
        <v>73</v>
      </c>
      <c r="E1" s="4"/>
      <c r="F1" s="4"/>
      <c r="G1" s="4" t="s">
        <v>78</v>
      </c>
      <c r="H1" s="4"/>
      <c r="I1" s="4"/>
    </row>
    <row r="3" spans="1:9" x14ac:dyDescent="0.3">
      <c r="A3" s="1" t="s">
        <v>65</v>
      </c>
      <c r="B3" s="3">
        <f>b.cb - 2*tpwCB</f>
        <v>23.25</v>
      </c>
      <c r="D3" s="1" t="s">
        <v>74</v>
      </c>
      <c r="E3" s="3">
        <f>0.01*h.cb*b.cb</f>
        <v>5.76</v>
      </c>
      <c r="G3" s="1" t="s">
        <v>77</v>
      </c>
      <c r="H3" s="3">
        <f>b.cb - 2*tpwCB</f>
        <v>23.25</v>
      </c>
    </row>
    <row r="4" spans="1:9" x14ac:dyDescent="0.3">
      <c r="A4" s="1" t="s">
        <v>66</v>
      </c>
      <c r="B4" s="3">
        <f xml:space="preserve"> (2*tpwCB*h.cb*Ry*Fy + 0.85*Rcon*fpc*tc.CB*tpfCB)/
(4*tpwCB*Ry*Fy + 0.85*Rcon*fpc*tc.CB)</f>
        <v>4.5091274997623048</v>
      </c>
      <c r="D4" s="1" t="s">
        <v>75</v>
      </c>
      <c r="E4" s="3">
        <f>As.cb</f>
        <v>41.25</v>
      </c>
      <c r="G4" s="1" t="s">
        <v>79</v>
      </c>
      <c r="H4" s="3">
        <f>h.cb - 2 * tpfCB</f>
        <v>23</v>
      </c>
    </row>
    <row r="5" spans="1:9" x14ac:dyDescent="0.3">
      <c r="A5" s="1" t="s">
        <v>67</v>
      </c>
      <c r="B5" s="3">
        <f xml:space="preserve"> (b.cb - 2*tpwCB) *tpfCB* Ry*Fy</f>
        <v>639.37500000000011</v>
      </c>
      <c r="E5" s="3" t="s">
        <v>76</v>
      </c>
      <c r="G5" s="1" t="s">
        <v>80</v>
      </c>
      <c r="H5" s="3">
        <f>bc.CB/tpfCB</f>
        <v>46.5</v>
      </c>
      <c r="I5" s="4" t="s">
        <v>76</v>
      </c>
    </row>
    <row r="6" spans="1:9" x14ac:dyDescent="0.3">
      <c r="A6" s="1" t="s">
        <v>68</v>
      </c>
      <c r="B6" s="3">
        <f>2*tpwCB* C_CB.exp*Ry*Fy</f>
        <v>186.00150936519512</v>
      </c>
      <c r="G6" s="1" t="s">
        <v>82</v>
      </c>
      <c r="H6" s="3">
        <f>2.37*SQRT(Es/Ry/Fy)</f>
        <v>54.42093514281229</v>
      </c>
      <c r="I6" s="4"/>
    </row>
    <row r="7" spans="1:9" x14ac:dyDescent="0.3">
      <c r="A7" s="1" t="s">
        <v>69</v>
      </c>
      <c r="B7" s="3">
        <f xml:space="preserve"> 0.85*Rcon* fpc *tc.CB* (C_CB.exp* tpfCB)</f>
        <v>347.53536563480498</v>
      </c>
      <c r="G7" s="1" t="s">
        <v>81</v>
      </c>
      <c r="H7" s="3">
        <f>hc.CB/tpwCB</f>
        <v>61.333333333333336</v>
      </c>
      <c r="I7" s="4" t="s">
        <v>76</v>
      </c>
    </row>
    <row r="8" spans="1:9" x14ac:dyDescent="0.3">
      <c r="A8" s="1" t="s">
        <v>70</v>
      </c>
      <c r="B8" s="3">
        <f xml:space="preserve"> (b.cb - 2*tpwCB) * tpfCB* Ry*Fy</f>
        <v>639.37500000000011</v>
      </c>
      <c r="G8" s="1" t="s">
        <v>83</v>
      </c>
      <c r="H8" s="3">
        <f>2.66*SQRT(Es/Ry/Fy)</f>
        <v>61.080036911342063</v>
      </c>
      <c r="I8" s="4"/>
    </row>
    <row r="9" spans="1:9" x14ac:dyDescent="0.3">
      <c r="A9" s="1" t="s">
        <v>71</v>
      </c>
      <c r="B9" s="3">
        <f>2*tpwCB* ( h.cb - C_CB.exp) *Ry*Fy</f>
        <v>803.99849063480497</v>
      </c>
    </row>
    <row r="11" spans="1:9" x14ac:dyDescent="0.3">
      <c r="A11" s="1" t="s">
        <v>72</v>
      </c>
      <c r="B11" s="3">
        <f xml:space="preserve"> C_1.exp*(C_CB.exp-tpfCB/2) + C_2.exp*C_CB.exp/2 + C_3.cb*(C_CB.exp-tpfCB)/2 + T_1.exp* (h.cb - C_CB.exp - tpfCB/2) + T_2.exp * (h.cb - C_CB.exp)/2</f>
        <v>23281.313517791805</v>
      </c>
    </row>
  </sheetData>
  <mergeCells count="5">
    <mergeCell ref="A1:C1"/>
    <mergeCell ref="D1:F1"/>
    <mergeCell ref="G1:I1"/>
    <mergeCell ref="I5:I6"/>
    <mergeCell ref="I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57</vt:i4>
      </vt:variant>
    </vt:vector>
  </HeadingPairs>
  <TitlesOfParts>
    <vt:vector size="63" baseType="lpstr">
      <vt:lpstr>Buildig Geometry</vt:lpstr>
      <vt:lpstr>Loads</vt:lpstr>
      <vt:lpstr>Material Properties</vt:lpstr>
      <vt:lpstr>Design Par.</vt:lpstr>
      <vt:lpstr>Analysis</vt:lpstr>
      <vt:lpstr>Design Coupling Beams</vt:lpstr>
      <vt:lpstr>Ac</vt:lpstr>
      <vt:lpstr>Ac.cb</vt:lpstr>
      <vt:lpstr>As</vt:lpstr>
      <vt:lpstr>As.cb</vt:lpstr>
      <vt:lpstr>Asw</vt:lpstr>
      <vt:lpstr>Asw.cb</vt:lpstr>
      <vt:lpstr>b.cb</vt:lpstr>
      <vt:lpstr>bc.CB</vt:lpstr>
      <vt:lpstr>C_1.exp</vt:lpstr>
      <vt:lpstr>C_2.exp</vt:lpstr>
      <vt:lpstr>C_3.cb</vt:lpstr>
      <vt:lpstr>C_3.exp</vt:lpstr>
      <vt:lpstr>C_CB.exp</vt:lpstr>
      <vt:lpstr>Cd</vt:lpstr>
      <vt:lpstr>DL</vt:lpstr>
      <vt:lpstr>EAuncr.CB</vt:lpstr>
      <vt:lpstr>Ec</vt:lpstr>
      <vt:lpstr>EI.eff.CB</vt:lpstr>
      <vt:lpstr>Es</vt:lpstr>
      <vt:lpstr>fpc</vt:lpstr>
      <vt:lpstr>Fu</vt:lpstr>
      <vt:lpstr>Fy</vt:lpstr>
      <vt:lpstr>GAv.eff.CB</vt:lpstr>
      <vt:lpstr>Gc</vt:lpstr>
      <vt:lpstr>Gs</vt:lpstr>
      <vt:lpstr>h.cb</vt:lpstr>
      <vt:lpstr>h_1</vt:lpstr>
      <vt:lpstr>h_typ</vt:lpstr>
      <vt:lpstr>hc.CB</vt:lpstr>
      <vt:lpstr>Ic</vt:lpstr>
      <vt:lpstr>Ic.CB</vt:lpstr>
      <vt:lpstr>Ie</vt:lpstr>
      <vt:lpstr>Is</vt:lpstr>
      <vt:lpstr>Is.CB</vt:lpstr>
      <vt:lpstr>L.cb</vt:lpstr>
      <vt:lpstr>lam.pf</vt:lpstr>
      <vt:lpstr>Lcb</vt:lpstr>
      <vt:lpstr>Lf</vt:lpstr>
      <vt:lpstr>Lw</vt:lpstr>
      <vt:lpstr>Mr.CB</vt:lpstr>
      <vt:lpstr>n</vt:lpstr>
      <vt:lpstr>Omg</vt:lpstr>
      <vt:lpstr>OTM</vt:lpstr>
      <vt:lpstr>Rcon</vt:lpstr>
      <vt:lpstr>Rfactor</vt:lpstr>
      <vt:lpstr>Ry</vt:lpstr>
      <vt:lpstr>T_1.exp</vt:lpstr>
      <vt:lpstr>T_2.exp</vt:lpstr>
      <vt:lpstr>tc.CB</vt:lpstr>
      <vt:lpstr>tp</vt:lpstr>
      <vt:lpstr>tpfCB</vt:lpstr>
      <vt:lpstr>tpwCB</vt:lpstr>
      <vt:lpstr>tsc</vt:lpstr>
      <vt:lpstr>Vamp</vt:lpstr>
      <vt:lpstr>Vbase</vt:lpstr>
      <vt:lpstr>Vr.CB</vt:lpstr>
      <vt:lpstr>Wf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Husayn Mohammadi</dc:creator>
  <cp:lastModifiedBy>Husayn Mohammadi</cp:lastModifiedBy>
  <dcterms:created xsi:type="dcterms:W3CDTF">2024-01-21T00:31:05Z</dcterms:created>
  <dcterms:modified xsi:type="dcterms:W3CDTF">2024-01-21T02:49:17Z</dcterms:modified>
</cp:coreProperties>
</file>