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ws\SDD_SVN\data\test\"/>
    </mc:Choice>
  </mc:AlternateContent>
  <bookViews>
    <workbookView xWindow="12576" yWindow="420" windowWidth="12516" windowHeight="11676" tabRatio="778" firstSheet="5" activeTab="9"/>
  </bookViews>
  <sheets>
    <sheet name="封面" sheetId="20" r:id="rId1"/>
    <sheet name="模板版本修订记录" sheetId="21" r:id="rId2"/>
    <sheet name="说明页" sheetId="6" r:id="rId3"/>
    <sheet name="输入-车辆参数" sheetId="14" r:id="rId4"/>
    <sheet name="输入-设备参数" sheetId="4" r:id="rId5"/>
    <sheet name="输入-线路参数" sheetId="22" r:id="rId6"/>
    <sheet name="输入-系统基本参数" sheetId="11" r:id="rId7"/>
    <sheet name="输出-系统通用参数" sheetId="3" r:id="rId8"/>
    <sheet name="输出-系统进路参数" sheetId="7" r:id="rId9"/>
    <sheet name="输出-屏蔽门开门码" sheetId="13" r:id="rId10"/>
    <sheet name="附表-信号机" sheetId="8" r:id="rId11"/>
    <sheet name="附表-坡度" sheetId="9" r:id="rId12"/>
    <sheet name="附表-断链" sheetId="10" r:id="rId13"/>
    <sheet name="编组1-系统进路表" sheetId="15" r:id="rId14"/>
    <sheet name="编组2-系统进路表" sheetId="16" r:id="rId15"/>
    <sheet name="编组3-系统进路表" sheetId="17" r:id="rId16"/>
    <sheet name="编组4-系统进路表" sheetId="18" r:id="rId17"/>
    <sheet name="编组5-系统进路表" sheetId="19" r:id="rId18"/>
  </sheets>
  <definedNames>
    <definedName name="_28">'输入-线路参数'!$F$3:$F$31</definedName>
    <definedName name="AA">'输入-线路参数'!$F$3</definedName>
    <definedName name="ATO速度_EB速度余量">5</definedName>
    <definedName name="CFG_D_MAX_JUMP_DEPOT">'输出-系统通用参数'!$E$44</definedName>
    <definedName name="CFG_D_MAX_REV_DIST">'输出-系统通用参数'!$E$35</definedName>
    <definedName name="CFG_D_MAX_ROLL_AWAY">'输出-系统通用参数'!$E$41</definedName>
    <definedName name="CFG_D_ROLL_AWAY_DETECT">'输出-系统通用参数'!$E$42</definedName>
    <definedName name="CFG_D_RS_BUFFER">'输出-系统通用参数'!$E$36</definedName>
    <definedName name="CFG_D_SAFETY_MARGIN">'输出-系统通用参数'!$E$32</definedName>
    <definedName name="CFG_ERR_MAX_LOC">'输出-系统通用参数'!$E$20</definedName>
    <definedName name="CFG_L_MAX_DIST_IN_2_WDCBCN">'输出-系统通用参数'!$E$17</definedName>
    <definedName name="CFG_L_MAX_MAL_ON_OVERLAP">'输出-系统通用参数'!$E$33</definedName>
    <definedName name="CFG_L_MIN_DIST_IN_2_WDCBCN">'输出-系统通用参数'!$E$16</definedName>
    <definedName name="CFG_L_MIN_MAL_ON_OVERLAP">'输出-系统通用参数'!$E$34</definedName>
    <definedName name="CFG_L_RS_HEAD_FILTER">'输出-系统通用参数'!$E$30</definedName>
    <definedName name="CFG_L_RS_REAR_FILTER">'输出-系统通用参数'!$E$31</definedName>
    <definedName name="CFG_T_ATS_ALIVE_TO_CC">'输出-系统通用参数'!$E$10</definedName>
    <definedName name="CFG_T_ATS_ALIVE_TO_ZC">'输出-系统通用参数'!$E$12</definedName>
    <definedName name="CFG_T_BERTHSEC_OVERLAP_RELEASE_1">'编组1-系统进路表'!$Z$2:$Z$4</definedName>
    <definedName name="CFG_T_BERTHSEC_OVERLAP_RELEASE_2">'编组2-系统进路表'!$Z$2:$Z$4</definedName>
    <definedName name="CFG_T_BERTHSEC_OVERLAP_RELEASE_3">'编组3-系统进路表'!$Z$2:$Z$4</definedName>
    <definedName name="CFG_T_BERTHSEC_OVERLAP_RELEASE_4">'编组4-系统进路表'!$Z$2:$Z$4</definedName>
    <definedName name="CFG_T_BERTHSEC_OVERLAP_RELEASE_5">'编组5-系统进路表'!$Z$2:$Z$4</definedName>
    <definedName name="CFG_T_CBI_ALIVE_TO_ATS">'输出-系统通用参数'!$E$13</definedName>
    <definedName name="CFG_T_CBI_ALIVE_TO_CBI">'输出-系统通用参数'!$E$14</definedName>
    <definedName name="CFG_T_CBI_ALIVE_TO_CC">'输出-系统通用参数'!$E$8</definedName>
    <definedName name="CFG_T_CBI_ALIVE_TO_ZC">'输出-系统通用参数'!$E$3</definedName>
    <definedName name="CFG_T_CC_ALIVE_TO_ATS">'输出-系统通用参数'!$E$9</definedName>
    <definedName name="CFG_T_CC_ALIVE_TO_CBI">'输出-系统通用参数'!$E$7</definedName>
    <definedName name="CFG_T_CC_ALIVE_TO_ZC">'输出-系统通用参数'!$E$6</definedName>
    <definedName name="CFG_T_EB_OUT">'输出-系统通用参数'!$E$46</definedName>
    <definedName name="CFG_T_EB_SETUP">'输出-系统通用参数'!$E$47</definedName>
    <definedName name="CFG_T_LCROUTE_RELEASE_DMC_1">'编组1-系统进路表'!$V$2:$V$4</definedName>
    <definedName name="CFG_T_LCROUTE_RELEASE_DMC_2">'编组2-系统进路表'!$V$2:$V$4</definedName>
    <definedName name="CFG_T_LCROUTE_RELEASE_DMC_3">'编组3-系统进路表'!$V$2:$V$4</definedName>
    <definedName name="CFG_T_LCROUTE_RELEASE_DMC_4">'编组4-系统进路表'!$V$2:$V$4</definedName>
    <definedName name="CFG_T_LCROUTE_RELEASE_DMC_5">'编组5-系统进路表'!$V$2:$V$4</definedName>
    <definedName name="CFG_T_LCROUTE_RELEASE_IMC_1">'编组1-系统进路表'!$X$2:$X$4</definedName>
    <definedName name="CFG_T_LCROUTE_RELEASE_IMC_2">'编组2-系统进路表'!$X$2:$X$4</definedName>
    <definedName name="CFG_T_LCROUTE_RELEASE_IMC_3">'编组3-系统进路表'!$X$2:$X$4</definedName>
    <definedName name="CFG_T_LCROUTE_RELEASE_IMC_4">'编组4-系统进路表'!$X$2:$X$4</definedName>
    <definedName name="CFG_T_LCROUTE_RELEASE_IMC_5">'编组5-系统进路表'!$X$2:$X$4</definedName>
    <definedName name="CFG_T_MAX_BCN_DELAY">'输出-系统通用参数'!$E$19</definedName>
    <definedName name="CFG_T_OPG_OPG_VERIFY">'输出-系统通用参数'!$E$18</definedName>
    <definedName name="CFG_T_OVERLAP_VALID_BERTH_1">'编组1-系统进路表'!$Y$2:$Y$4</definedName>
    <definedName name="CFG_T_OVERLAP_VALID_BERTH_2">'编组2-系统进路表'!$Y$2:$Y$4</definedName>
    <definedName name="CFG_T_OVERLAP_VALID_BERTH_3">'编组3-系统进路表'!$Y$2:$Y$4</definedName>
    <definedName name="CFG_T_OVERLAP_VALID_BERTH_4">'编组4-系统进路表'!$Y$2:$Y$4</definedName>
    <definedName name="CFG_T_OVERLAP_VALID_BERTH_5">'编组5-系统进路表'!$Y$2:$Y$4</definedName>
    <definedName name="CFG_T_OVERLAP_VALID_ROUTE_1">'编组1-系统进路表'!$AA$2:$AA$4</definedName>
    <definedName name="CFG_T_OVERLAP_VALID_ROUTE_2">'编组2-系统进路表'!$AA$2:$AA$4</definedName>
    <definedName name="CFG_T_OVERLAP_VALID_ROUTE_3">'编组3-系统进路表'!$AA$2:$AA$4</definedName>
    <definedName name="CFG_T_OVERLAP_VALID_ROUTE_4">'编组4-系统进路表'!$AA$2:$AA$4</definedName>
    <definedName name="CFG_T_OVERLAP_VALID_ROUTE_5">'编组5-系统进路表'!$AA$2:$AA$4</definedName>
    <definedName name="CFG_T_OVERLAP_ZC_TIMEOUT">'输出-系统通用参数'!$E$28</definedName>
    <definedName name="CFG_T_PASS_SIGNAL">'输出-系统通用参数'!$E$29</definedName>
    <definedName name="CFG_T_PSD_STATUS_CONFIRM">'输出-系统通用参数'!$E$48</definedName>
    <definedName name="CFG_T_ROUTE_OVERLAP_RELEASE_1">'编组1-系统进路表'!$AB$2:$AB$4</definedName>
    <definedName name="CFG_T_ROUTE_OVERLAP_RELEASE_2">'编组2-系统进路表'!$AB$2:$AB$4</definedName>
    <definedName name="CFG_T_ROUTE_OVERLAP_RELEASE_3">'编组3-系统进路表'!$AB$2:$AB$4</definedName>
    <definedName name="CFG_T_ROUTE_OVERLAP_RELEASE_4">'编组4-系统进路表'!$AB$2:$AB$4</definedName>
    <definedName name="CFG_T_ROUTE_OVERLAP_RELEASE_5">'编组5-系统进路表'!$AB$2:$AB$4</definedName>
    <definedName name="CFG_T_ROUTE_VALID_DMC_1">'编组1-系统进路表'!$U$2:$U$4</definedName>
    <definedName name="CFG_T_ROUTE_VALID_DMC_2">'编组2-系统进路表'!$U$2:$U$4</definedName>
    <definedName name="CFG_T_ROUTE_VALID_DMC_3">'编组3-系统进路表'!$U$2:$U$4</definedName>
    <definedName name="CFG_T_ROUTE_VALID_DMC_4">'编组4-系统进路表'!$U$2:$U$4</definedName>
    <definedName name="CFG_T_ROUTE_VALID_DMC_5">'编组5-系统进路表'!$U$2:$U$4</definedName>
    <definedName name="CFG_T_ROUTE_VALID_IMC_1">'编组1-系统进路表'!$W$2:$W$4</definedName>
    <definedName name="CFG_T_ROUTE_VALID_IMC_2">'编组2-系统进路表'!$W$2:$W$4</definedName>
    <definedName name="CFG_T_ROUTE_VALID_IMC_3">'编组3-系统进路表'!$W$2:$W$4</definedName>
    <definedName name="CFG_T_ROUTE_VALID_IMC_4">'编组4-系统进路表'!$W$2:$W$4</definedName>
    <definedName name="CFG_T_ROUTE_VALID_IMC_5">'编组5-系统进路表'!$W$2:$W$4</definedName>
    <definedName name="CFG_T_YDROUTE_RELEASE_1">'编组1-系统进路表'!$AC$2:$AC$4</definedName>
    <definedName name="CFG_T_YDROUTE_RELEASE_2">'编组2-系统进路表'!$AC$2:$AC$4</definedName>
    <definedName name="CFG_T_YDROUTE_RELEASE_3">'编组3-系统进路表'!$AC$2:$AC$4</definedName>
    <definedName name="CFG_T_YDROUTE_RELEASE_4">'编组4-系统进路表'!$AC$2:$AC$4</definedName>
    <definedName name="CFG_T_YDROUTE_RELEASE_5">'编组5-系统进路表'!$AC$2:$AC$4</definedName>
    <definedName name="CFG_T_ZC_ALIVE_TO_ATS">'输出-系统通用参数'!$E$11</definedName>
    <definedName name="CFG_T_ZC_ALIVE_TO_CBI">'输出-系统通用参数'!$E$4</definedName>
    <definedName name="CFG_T_ZC_ALIVE_TO_CC">'输出-系统通用参数'!$E$5</definedName>
    <definedName name="CFG_T_ZC_ALIVE_TO_ZC">'输出-系统通用参数'!$E$15</definedName>
    <definedName name="CFG_V_ATPOPEN_SPD">'输出-系统通用参数'!$E$45</definedName>
    <definedName name="CFG_V_MAX_JUMP_DEPOT">'输出-系统通用参数'!$E$43</definedName>
    <definedName name="Conf_BiccCycle">'输入-系统基本参数'!$E$8</definedName>
    <definedName name="Conf_BilockCycle">'输入-系统基本参数'!$E$6</definedName>
    <definedName name="Conf_BiviewCycle">'输入-系统基本参数'!$E$9</definedName>
    <definedName name="Conf_BizcCycle">'输入-系统基本参数'!$E$7</definedName>
    <definedName name="Conf_BtmSendDelay">'输入-系统基本参数'!$E$34</definedName>
    <definedName name="Conf_Cbi2AtsCycle">'输入-系统基本参数'!$E$18</definedName>
    <definedName name="Conf_Cbi2CbiCycle">'输入-系统基本参数'!$E$20</definedName>
    <definedName name="Conf_Cbi2CcCycle">'输入-系统基本参数'!$E$15</definedName>
    <definedName name="Conf_Cbi2ZcCycle">'输入-系统基本参数'!$E$10</definedName>
    <definedName name="Conf_Cc2AtsCycle">'输入-系统基本参数'!$E$16</definedName>
    <definedName name="Conf_Cc2CbiCycle">'输入-系统基本参数'!$E$14</definedName>
    <definedName name="Conf_Cc2ZcCycle">'输入-系统基本参数'!$E$13</definedName>
    <definedName name="Conf_ComInTime_CBI">'输入-系统基本参数'!$E$32</definedName>
    <definedName name="Conf_ComInTime_CC">'输入-系统基本参数'!$E$26</definedName>
    <definedName name="Conf_ComInTime_ZC">'输入-系统基本参数'!$E$28</definedName>
    <definedName name="Conf_ComOutTime_CBI">'输入-系统基本参数'!$E$31</definedName>
    <definedName name="Conf_ComOutTime_CC">'输入-系统基本参数'!$E$25</definedName>
    <definedName name="Conf_ComOutTime_ZC">'输入-系统基本参数'!$E$27</definedName>
    <definedName name="Conf_DcsDelay">'输入-系统基本参数'!$E$21</definedName>
    <definedName name="Conf_LocDiff">'输入-系统基本参数'!$E$2</definedName>
    <definedName name="Conf_MaxSlideBackDist">'输入-系统基本参数'!$E$3</definedName>
    <definedName name="Conf_NetworkMargin">'输入-系统基本参数'!$E$22</definedName>
    <definedName name="Conf_PPUProcTime">'输入-系统基本参数'!$E$33</definedName>
    <definedName name="Conf_ReleaseSpd">'输入-系统基本参数'!$E$4</definedName>
    <definedName name="Conf_SafeMarginDist">'输入-系统基本参数'!$E$5</definedName>
    <definedName name="Conf_VibInTime_CBI">'输入-系统基本参数'!$E$30</definedName>
    <definedName name="Conf_VibInTime_CC">'输入-系统基本参数'!$E$24</definedName>
    <definedName name="Conf_VobOutTime_CBI">'输入-系统基本参数'!$E$29</definedName>
    <definedName name="Conf_VobOutTime_CC">'输入-系统基本参数'!$E$23</definedName>
    <definedName name="Conf_Zc2AtsCycle">'输入-系统基本参数'!$E$17</definedName>
    <definedName name="Conf_Zc2CbiCycle">'输入-系统基本参数'!$E$11</definedName>
    <definedName name="Conf_Zc2CcCycle">'输入-系统基本参数'!$E$12</definedName>
    <definedName name="Conf_Zc2ZcCycle">'输入-系统基本参数'!$E$19</definedName>
    <definedName name="Equ_AxleClearDelay">'输入-设备参数'!$F$8</definedName>
    <definedName name="Equ_AxleOccupyDelay">'输入-设备参数'!$F$9</definedName>
    <definedName name="Equ_BeaconReadDiff">'输入-设备参数'!$F$7</definedName>
    <definedName name="Equ_BeaconWriteDelay">'输入-设备参数'!$F$12</definedName>
    <definedName name="Equ_BTMReadDelay">'输入-设备参数'!#REF!</definedName>
    <definedName name="Equ_CollisionSpd">'输入-设备参数'!$F$13</definedName>
    <definedName name="Equ_CyclePulseCount">'输入-设备参数'!$F$6</definedName>
    <definedName name="Equ_LoopComDelay">'输入-设备参数'!$F$14</definedName>
    <definedName name="Equ_PsdClsRelayRlsDelay">'输入-设备参数'!$F$16</definedName>
    <definedName name="Equ_PsdProcessDelay">'输入-设备参数'!$F$10</definedName>
    <definedName name="Equ_PsdRelayEnergDelay">'输入-设备参数'!$F$15</definedName>
    <definedName name="Equ_PsdWidth">'输入-设备参数'!$F$11</definedName>
    <definedName name="Equ_RadarCycle">'输入-设备参数'!$F$5</definedName>
    <definedName name="Equ_RadarPulseDist">'输入-设备参数'!$F$2</definedName>
    <definedName name="Equ_RadarSpdDiff">'输入-设备参数'!$F$4</definedName>
    <definedName name="Equ_RadarTrigSpd">'输入-设备参数'!$F$3</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oj_BeaconFixDiff">'输入-线路参数'!$F$9</definedName>
    <definedName name="Proj_Cbi2CcDelay">'输入-线路参数'!$F$28</definedName>
    <definedName name="Proj_Cbi2ZcDelay">'输入-线路参数'!$F$25</definedName>
    <definedName name="Proj_Cc2CbiDelay">'输入-线路参数'!$F$29</definedName>
    <definedName name="Proj_Cc2ZcDelay">'输入-线路参数'!$F$27</definedName>
    <definedName name="Proj_EumMaxSpd">'输入-线路参数'!$F$20</definedName>
    <definedName name="Proj_HandOverCBIDelay">'输入-线路参数'!$F$22</definedName>
    <definedName name="Proj_HandOverZCDelay">'输入-线路参数'!$F$23</definedName>
    <definedName name="Proj_IAtpCommMode">'输入-线路参数'!$F$30</definedName>
    <definedName name="Proj_LineSpdLimit">'输入-线路参数'!$F$8</definedName>
    <definedName name="Proj_MaxDistBcn2SpJump">'输入-线路参数'!$F$13</definedName>
    <definedName name="Proj_MaxDistBcn2SpOpen">'输入-线路参数'!$F$16</definedName>
    <definedName name="Proj_MaxLineGrad">'输入-线路参数'!$F$5</definedName>
    <definedName name="Proj_MaxPlatGrad">'输入-线路参数'!$F$6</definedName>
    <definedName name="Proj_MaxRollBackDist">'输入-线路参数'!$F$21</definedName>
    <definedName name="Proj_MinDriverSpd">'输入-线路参数'!$F$17</definedName>
    <definedName name="Proj_MinHook2Roller">'输入-线路参数'!$F$3</definedName>
    <definedName name="Proj_MinSp2EndJumpDist">'输入-线路参数'!$F$12</definedName>
    <definedName name="Proj_MinSp2EndOpenDist">'输入-线路参数'!$F$14</definedName>
    <definedName name="Proj_MinSp2HookOpenDist">'输入-线路参数'!$F$15</definedName>
    <definedName name="Proj_MinSp2SigJumpDist">'输入-线路参数'!$F$11</definedName>
    <definedName name="Proj_MinVehicleLength">'输入-线路参数'!$F$2</definedName>
    <definedName name="Proj_PlatSpdLimit">'输入-线路参数'!$F$4</definedName>
    <definedName name="Proj_ReverseTractCmd">'输入-线路参数'!$F$31</definedName>
    <definedName name="Proj_RmMaxBackwSpd">'输入-线路参数'!$F$19</definedName>
    <definedName name="Proj_RmMaxForwSpd">'输入-线路参数'!$F$18</definedName>
    <definedName name="Proj_Sig2AxleDist">'输入-线路参数'!$F$10</definedName>
    <definedName name="Proj_Sp2AxleDist">'输入-线路参数'!$F$7</definedName>
    <definedName name="Proj_Zc2CbiDelay">'输入-线路参数'!$F$24</definedName>
    <definedName name="Proj_Zc2CcDelay">'输入-线路参数'!$F$26</definedName>
    <definedName name="Veb_MaxDec">'输入-车辆参数'!$F$8:$J$8</definedName>
    <definedName name="Veh_CollisionSpd">'输入-车辆参数'!$F$22:$J$22</definedName>
    <definedName name="Veh_ConstructSpeed">'输入-车辆参数'!$F$3:$J$3</definedName>
    <definedName name="Veh_DoorWidth">'输入-车辆参数'!$F$21:$J$21</definedName>
    <definedName name="Veh_EbCoastTime">'输入-车辆参数'!$F$16:$J$16</definedName>
    <definedName name="Veh_EbTracCutDelay">'输入-车辆参数'!$F$13:$J$13</definedName>
    <definedName name="Veh_FsbCoastTime">'输入-车辆参数'!$F$17:$J$17</definedName>
    <definedName name="Veh_Fsbr">'输入-车辆参数'!$F$11:$J$11</definedName>
    <definedName name="Veh_FsbSetDelay">'输入-车辆参数'!$F$14:$J$14</definedName>
    <definedName name="Veh_FsbTracCutDelay">'输入-车辆参数'!$F$12:$J$12</definedName>
    <definedName name="Veh_Gebr">'输入-车辆参数'!$F$10:$J$10</definedName>
    <definedName name="Veh_GebSetDelay">'输入-车辆参数'!$F$15:$J$15</definedName>
    <definedName name="Veh_Hook2Ante">'输入-车辆参数'!$F$6:$J$6</definedName>
    <definedName name="Veh_Hook2Roller">'输入-车辆参数'!$F$5:$J$5</definedName>
    <definedName name="Veh_Length">'输入-车辆参数'!$F$4:$J$4</definedName>
    <definedName name="Veh_Marshal">'输入-车辆参数'!$F$2:$J$2</definedName>
    <definedName name="Veh_MaxAcc">'输入-车辆参数'!$F$7:$J$7</definedName>
    <definedName name="Veh_MaxWheelDiameter">'输入-车辆参数'!$F$19:$J$19</definedName>
    <definedName name="Veh_MinWheelDiameter">'输入-车辆参数'!$F$20:$J$20</definedName>
    <definedName name="Veh_NormDec">'输入-车辆参数'!$F$9:$J$9</definedName>
    <definedName name="Veh_WheelSurfaceErr">'输入-车辆参数'!$F$18:$J$18</definedName>
    <definedName name="纯联锁DMC时间_s">180</definedName>
    <definedName name="屏蔽门ID高2byte">"0B00"</definedName>
    <definedName name="司机反应时间">3</definedName>
  </definedNames>
  <calcPr calcId="152511"/>
  <fileRecoveryPr autoRecover="0"/>
</workbook>
</file>

<file path=xl/calcChain.xml><?xml version="1.0" encoding="utf-8"?>
<calcChain xmlns="http://schemas.openxmlformats.org/spreadsheetml/2006/main">
  <c r="E3" i="3" l="1"/>
  <c r="E2" i="3" l="1"/>
  <c r="F2" i="3"/>
  <c r="G2" i="3"/>
  <c r="H2" i="3"/>
  <c r="I2" i="3"/>
  <c r="A3" i="19" l="1"/>
  <c r="T3" i="19" s="1"/>
  <c r="B3" i="19"/>
  <c r="C3" i="19"/>
  <c r="D3" i="19"/>
  <c r="E3" i="19"/>
  <c r="F3" i="19"/>
  <c r="G3" i="19"/>
  <c r="H3" i="19"/>
  <c r="I3" i="19"/>
  <c r="J3" i="19"/>
  <c r="K3" i="19"/>
  <c r="L3" i="19"/>
  <c r="M3" i="19"/>
  <c r="N3" i="19"/>
  <c r="O3" i="19"/>
  <c r="P3" i="19"/>
  <c r="Q3" i="19"/>
  <c r="R3" i="19"/>
  <c r="AC3" i="19"/>
  <c r="A4" i="19"/>
  <c r="T4" i="19" s="1"/>
  <c r="B4" i="19"/>
  <c r="C4" i="19"/>
  <c r="D4" i="19"/>
  <c r="E4" i="19"/>
  <c r="F4" i="19"/>
  <c r="G4" i="19"/>
  <c r="H4" i="19"/>
  <c r="I4" i="19"/>
  <c r="J4" i="19"/>
  <c r="K4" i="19"/>
  <c r="L4" i="19"/>
  <c r="M4" i="19"/>
  <c r="N4" i="19"/>
  <c r="O4" i="19"/>
  <c r="P4" i="19"/>
  <c r="Q4" i="19"/>
  <c r="R4" i="19"/>
  <c r="A3" i="18"/>
  <c r="B3" i="18"/>
  <c r="C3" i="18"/>
  <c r="D3" i="18"/>
  <c r="E3" i="18"/>
  <c r="F3" i="18"/>
  <c r="G3" i="18"/>
  <c r="H3" i="18"/>
  <c r="I3" i="18"/>
  <c r="J3" i="18"/>
  <c r="K3" i="18"/>
  <c r="L3" i="18"/>
  <c r="M3" i="18"/>
  <c r="N3" i="18"/>
  <c r="O3" i="18"/>
  <c r="P3" i="18"/>
  <c r="Q3" i="18"/>
  <c r="R3" i="18"/>
  <c r="A4" i="18"/>
  <c r="T4" i="18" s="1"/>
  <c r="B4" i="18"/>
  <c r="C4" i="18"/>
  <c r="D4" i="18"/>
  <c r="E4" i="18"/>
  <c r="F4" i="18"/>
  <c r="G4" i="18"/>
  <c r="H4" i="18"/>
  <c r="I4" i="18"/>
  <c r="J4" i="18"/>
  <c r="K4" i="18"/>
  <c r="L4" i="18"/>
  <c r="M4" i="18"/>
  <c r="N4" i="18"/>
  <c r="O4" i="18"/>
  <c r="P4" i="18"/>
  <c r="Q4" i="18"/>
  <c r="R4" i="18"/>
  <c r="A3" i="17"/>
  <c r="B3" i="17"/>
  <c r="C3" i="17"/>
  <c r="D3" i="17"/>
  <c r="E3" i="17"/>
  <c r="F3" i="17"/>
  <c r="G3" i="17"/>
  <c r="H3" i="17"/>
  <c r="I3" i="17"/>
  <c r="J3" i="17"/>
  <c r="K3" i="17"/>
  <c r="L3" i="17"/>
  <c r="M3" i="17"/>
  <c r="N3" i="17"/>
  <c r="O3" i="17"/>
  <c r="P3" i="17"/>
  <c r="Q3" i="17"/>
  <c r="R3" i="17"/>
  <c r="A4" i="17"/>
  <c r="B4" i="17"/>
  <c r="C4" i="17"/>
  <c r="D4" i="17"/>
  <c r="E4" i="17"/>
  <c r="F4" i="17"/>
  <c r="G4" i="17"/>
  <c r="H4" i="17"/>
  <c r="I4" i="17"/>
  <c r="J4" i="17"/>
  <c r="K4" i="17"/>
  <c r="L4" i="17"/>
  <c r="M4" i="17"/>
  <c r="N4" i="17"/>
  <c r="O4" i="17"/>
  <c r="P4" i="17"/>
  <c r="Q4" i="17"/>
  <c r="R4" i="17"/>
  <c r="A3" i="16"/>
  <c r="B3" i="16"/>
  <c r="C3" i="16"/>
  <c r="D3" i="16"/>
  <c r="E3" i="16"/>
  <c r="F3" i="16"/>
  <c r="G3" i="16"/>
  <c r="H3" i="16"/>
  <c r="I3" i="16"/>
  <c r="J3" i="16"/>
  <c r="K3" i="16"/>
  <c r="L3" i="16"/>
  <c r="M3" i="16"/>
  <c r="N3" i="16"/>
  <c r="O3" i="16"/>
  <c r="P3" i="16"/>
  <c r="Q3" i="16"/>
  <c r="R3" i="16"/>
  <c r="A4" i="16"/>
  <c r="B4" i="16"/>
  <c r="C4" i="16"/>
  <c r="D4" i="16"/>
  <c r="E4" i="16"/>
  <c r="F4" i="16"/>
  <c r="G4" i="16"/>
  <c r="H4" i="16"/>
  <c r="I4" i="16"/>
  <c r="J4" i="16"/>
  <c r="K4" i="16"/>
  <c r="L4" i="16"/>
  <c r="M4" i="16"/>
  <c r="N4" i="16"/>
  <c r="O4" i="16"/>
  <c r="P4" i="16"/>
  <c r="Q4" i="16"/>
  <c r="R4" i="16"/>
  <c r="A4" i="15"/>
  <c r="B4" i="15"/>
  <c r="C4" i="15"/>
  <c r="D4" i="15"/>
  <c r="E4" i="15"/>
  <c r="F4" i="15"/>
  <c r="G4" i="15"/>
  <c r="H4" i="15"/>
  <c r="I4" i="15"/>
  <c r="J4" i="15"/>
  <c r="K4" i="15"/>
  <c r="L4" i="15"/>
  <c r="M4" i="15"/>
  <c r="N4" i="15"/>
  <c r="O4" i="15"/>
  <c r="P4" i="15"/>
  <c r="Q4" i="15"/>
  <c r="R4" i="15"/>
  <c r="AC4" i="19" l="1"/>
  <c r="S3" i="16"/>
  <c r="AA3" i="19"/>
  <c r="V3" i="19"/>
  <c r="AB4" i="17"/>
  <c r="AA4" i="16"/>
  <c r="T3" i="18"/>
  <c r="Z3" i="18"/>
  <c r="Z4" i="19"/>
  <c r="Z3" i="19"/>
  <c r="Y4" i="19"/>
  <c r="Y3" i="19"/>
  <c r="W4" i="19"/>
  <c r="W4" i="17"/>
  <c r="U4" i="19"/>
  <c r="U3" i="19"/>
  <c r="S4" i="17"/>
  <c r="Z4" i="16"/>
  <c r="Y4" i="17"/>
  <c r="V3" i="18"/>
  <c r="V4" i="19"/>
  <c r="AB4" i="15"/>
  <c r="AA4" i="17"/>
  <c r="Z4" i="17"/>
  <c r="Y3" i="18"/>
  <c r="X3" i="18"/>
  <c r="AB4" i="18"/>
  <c r="Z4" i="18"/>
  <c r="U4" i="18"/>
  <c r="AB4" i="19"/>
  <c r="S4" i="19"/>
  <c r="X3" i="19"/>
  <c r="AA4" i="19"/>
  <c r="W3" i="19"/>
  <c r="X4" i="19"/>
  <c r="AB3" i="19"/>
  <c r="S3" i="19"/>
  <c r="AA4" i="15"/>
  <c r="S4" i="15"/>
  <c r="AB4" i="16"/>
  <c r="W4" i="16"/>
  <c r="S4" i="16"/>
  <c r="AA3" i="16"/>
  <c r="S4" i="18"/>
  <c r="AC4" i="18"/>
  <c r="Y4" i="16"/>
  <c r="S3" i="17"/>
  <c r="AA3" i="17"/>
  <c r="U4" i="17"/>
  <c r="AA4" i="18"/>
  <c r="W3" i="18"/>
  <c r="Y4" i="18"/>
  <c r="AC3" i="18"/>
  <c r="U3" i="18"/>
  <c r="X4" i="18"/>
  <c r="AB3" i="18"/>
  <c r="S3" i="18"/>
  <c r="W4" i="18"/>
  <c r="AA3" i="18"/>
  <c r="V4" i="18"/>
  <c r="U3" i="17"/>
  <c r="W3" i="17"/>
  <c r="Y3" i="17"/>
  <c r="U3" i="16"/>
  <c r="W3" i="16"/>
  <c r="Y3" i="16"/>
  <c r="U4" i="16"/>
  <c r="U4" i="15"/>
  <c r="W4" i="15"/>
  <c r="Y4" i="15"/>
  <c r="Z4" i="15"/>
  <c r="A2" i="19"/>
  <c r="T2" i="19" l="1"/>
  <c r="U2" i="19"/>
  <c r="W2" i="19"/>
  <c r="I3" i="15"/>
  <c r="J3" i="15"/>
  <c r="K3" i="15"/>
  <c r="L3" i="15"/>
  <c r="M3" i="15"/>
  <c r="N3" i="15"/>
  <c r="O3" i="15"/>
  <c r="E34" i="11" l="1"/>
  <c r="H3" i="15" l="1"/>
  <c r="H2" i="15"/>
  <c r="A3" i="15" l="1"/>
  <c r="B3" i="15"/>
  <c r="C3" i="15"/>
  <c r="D3" i="15"/>
  <c r="E3" i="15"/>
  <c r="F3" i="15"/>
  <c r="G3" i="15"/>
  <c r="P3" i="15"/>
  <c r="Q3" i="15"/>
  <c r="R3" i="15"/>
  <c r="G3" i="13"/>
  <c r="G4" i="13"/>
  <c r="G5" i="13"/>
  <c r="G6" i="13"/>
  <c r="G7" i="13"/>
  <c r="G8" i="13"/>
  <c r="G9" i="13"/>
  <c r="G10" i="13"/>
  <c r="G11" i="13"/>
  <c r="G12" i="13"/>
  <c r="G13" i="13"/>
  <c r="G14" i="13"/>
  <c r="G15" i="13"/>
  <c r="G16" i="13"/>
  <c r="G17" i="13"/>
  <c r="G18" i="13"/>
  <c r="G19" i="13"/>
  <c r="G20" i="13"/>
  <c r="G21" i="13"/>
  <c r="G22" i="13"/>
  <c r="G2" i="13"/>
  <c r="F3" i="13"/>
  <c r="F4" i="13"/>
  <c r="F5" i="13"/>
  <c r="F6" i="13"/>
  <c r="F7" i="13"/>
  <c r="F8" i="13"/>
  <c r="F9" i="13"/>
  <c r="F10" i="13"/>
  <c r="F11" i="13"/>
  <c r="F12" i="13"/>
  <c r="F13" i="13"/>
  <c r="F14" i="13"/>
  <c r="F15" i="13"/>
  <c r="F16" i="13"/>
  <c r="F17" i="13"/>
  <c r="F18" i="13"/>
  <c r="F19" i="13"/>
  <c r="F20" i="13"/>
  <c r="F21" i="13"/>
  <c r="F22" i="13"/>
  <c r="F2" i="13"/>
  <c r="D2" i="16"/>
  <c r="AA3" i="15" l="1"/>
  <c r="AD4" i="7" s="1"/>
  <c r="Y3" i="15"/>
  <c r="S3" i="15"/>
  <c r="W3" i="15"/>
  <c r="U3" i="15"/>
  <c r="W4" i="7" s="1"/>
  <c r="AB5" i="7"/>
  <c r="AC5" i="7"/>
  <c r="W5" i="7"/>
  <c r="AD5" i="7"/>
  <c r="AE5" i="7"/>
  <c r="Y5" i="7" l="1"/>
  <c r="AB4" i="7"/>
  <c r="Y4" i="7"/>
  <c r="B2" i="18" l="1"/>
  <c r="C2" i="18"/>
  <c r="D2" i="18"/>
  <c r="E2" i="18"/>
  <c r="F2" i="18"/>
  <c r="G2" i="18"/>
  <c r="H2" i="18"/>
  <c r="I2" i="18"/>
  <c r="J2" i="18"/>
  <c r="K2" i="18"/>
  <c r="L2" i="18"/>
  <c r="M2" i="18"/>
  <c r="N2" i="18"/>
  <c r="O2" i="18"/>
  <c r="P2" i="18"/>
  <c r="Q2" i="18"/>
  <c r="R2" i="18"/>
  <c r="B2" i="17"/>
  <c r="C2" i="17"/>
  <c r="D2" i="17"/>
  <c r="E2" i="17"/>
  <c r="F2" i="17"/>
  <c r="G2" i="17"/>
  <c r="H2" i="17"/>
  <c r="I2" i="17"/>
  <c r="J2" i="17"/>
  <c r="K2" i="17"/>
  <c r="L2" i="17"/>
  <c r="M2" i="17"/>
  <c r="N2" i="17"/>
  <c r="O2" i="17"/>
  <c r="P2" i="17"/>
  <c r="Q2" i="17"/>
  <c r="R2" i="17"/>
  <c r="B2" i="16"/>
  <c r="C2" i="16"/>
  <c r="E2" i="16"/>
  <c r="F2" i="16"/>
  <c r="G2" i="16"/>
  <c r="H2" i="16"/>
  <c r="I2" i="16"/>
  <c r="J2" i="16"/>
  <c r="K2" i="16"/>
  <c r="L2" i="16"/>
  <c r="M2" i="16"/>
  <c r="N2" i="16"/>
  <c r="O2" i="16"/>
  <c r="P2" i="16"/>
  <c r="Q2" i="16"/>
  <c r="R2" i="16"/>
  <c r="B2" i="15"/>
  <c r="C2" i="15"/>
  <c r="D2" i="15"/>
  <c r="E2" i="15"/>
  <c r="F2" i="15"/>
  <c r="G2" i="15"/>
  <c r="I2" i="15"/>
  <c r="J2" i="15"/>
  <c r="K2" i="15"/>
  <c r="L2" i="15"/>
  <c r="M2" i="15"/>
  <c r="N2" i="15"/>
  <c r="O2" i="15"/>
  <c r="P2" i="15"/>
  <c r="Q2" i="15"/>
  <c r="R2" i="15"/>
  <c r="B2" i="19"/>
  <c r="C2" i="19"/>
  <c r="D2" i="19"/>
  <c r="E2" i="19"/>
  <c r="F2" i="19"/>
  <c r="G2" i="19"/>
  <c r="H2" i="19"/>
  <c r="I2" i="19"/>
  <c r="J2" i="19"/>
  <c r="K2" i="19"/>
  <c r="L2" i="19"/>
  <c r="M2" i="19"/>
  <c r="N2" i="19"/>
  <c r="O2" i="19"/>
  <c r="P2" i="19"/>
  <c r="Q2" i="19"/>
  <c r="R2" i="19"/>
  <c r="A2" i="18"/>
  <c r="A2" i="17"/>
  <c r="A2" i="16"/>
  <c r="A2" i="15"/>
  <c r="U2" i="16" l="1"/>
  <c r="W2" i="16" s="1"/>
  <c r="U2" i="15"/>
  <c r="W2" i="15" s="1"/>
  <c r="V2" i="15"/>
  <c r="X2" i="15" s="1"/>
  <c r="U2" i="17"/>
  <c r="W2" i="17" s="1"/>
  <c r="T2" i="18"/>
  <c r="W2" i="18"/>
  <c r="U2" i="18"/>
  <c r="V2" i="18"/>
  <c r="V2" i="19"/>
  <c r="V2" i="17"/>
  <c r="V2" i="16"/>
  <c r="S2" i="15"/>
  <c r="Y2" i="15"/>
  <c r="AA2" i="15"/>
  <c r="AA2" i="16"/>
  <c r="S2" i="16"/>
  <c r="Y2" i="16"/>
  <c r="AA2" i="17"/>
  <c r="Y2" i="17"/>
  <c r="S2" i="17"/>
  <c r="AC2" i="18"/>
  <c r="Y2" i="18"/>
  <c r="S2" i="18"/>
  <c r="X2" i="18"/>
  <c r="AA2" i="18"/>
  <c r="AC2" i="19"/>
  <c r="Y2" i="19"/>
  <c r="S2" i="19"/>
  <c r="X2" i="19"/>
  <c r="AA2" i="19"/>
  <c r="I36" i="3"/>
  <c r="H36" i="3"/>
  <c r="G36" i="3"/>
  <c r="F36" i="3"/>
  <c r="E36" i="3"/>
  <c r="G19" i="3" l="1"/>
  <c r="I30" i="3"/>
  <c r="I19" i="3"/>
  <c r="I47" i="3"/>
  <c r="I46" i="3"/>
  <c r="H48" i="3"/>
  <c r="H19" i="3"/>
  <c r="H43" i="3"/>
  <c r="H47" i="3"/>
  <c r="H46" i="3"/>
  <c r="E30" i="3"/>
  <c r="I31" i="3" s="1"/>
  <c r="E19" i="3"/>
  <c r="F30" i="3"/>
  <c r="F19" i="3"/>
  <c r="AB3" i="7"/>
  <c r="X2" i="17"/>
  <c r="W3" i="7"/>
  <c r="AD3" i="7"/>
  <c r="X2" i="16"/>
  <c r="I3" i="3"/>
  <c r="I4" i="3"/>
  <c r="I5" i="3"/>
  <c r="I6" i="3"/>
  <c r="I7" i="3"/>
  <c r="I8" i="3"/>
  <c r="I9" i="3"/>
  <c r="I10" i="3"/>
  <c r="I11" i="3"/>
  <c r="I12" i="3"/>
  <c r="I13" i="3"/>
  <c r="I14" i="3"/>
  <c r="I15" i="3"/>
  <c r="E16" i="3"/>
  <c r="F17" i="3" s="1"/>
  <c r="I16" i="3"/>
  <c r="G20" i="3"/>
  <c r="G30" i="3"/>
  <c r="E32" i="3"/>
  <c r="I32" i="3"/>
  <c r="E42" i="3"/>
  <c r="I42" i="3"/>
  <c r="E47" i="3"/>
  <c r="I48" i="3"/>
  <c r="F16" i="3"/>
  <c r="H20" i="3"/>
  <c r="H30" i="3"/>
  <c r="F32" i="3"/>
  <c r="F42" i="3"/>
  <c r="F47" i="3"/>
  <c r="G16" i="3"/>
  <c r="E20" i="3"/>
  <c r="G18" i="3" s="1"/>
  <c r="I20" i="3"/>
  <c r="G32" i="3"/>
  <c r="G42" i="3"/>
  <c r="G47" i="3"/>
  <c r="H3" i="3"/>
  <c r="H4" i="3"/>
  <c r="H5" i="3"/>
  <c r="H6" i="3"/>
  <c r="H7" i="3"/>
  <c r="H8" i="3"/>
  <c r="H9" i="3"/>
  <c r="H10" i="3"/>
  <c r="H11" i="3"/>
  <c r="H12" i="3"/>
  <c r="H13" i="3"/>
  <c r="H14" i="3"/>
  <c r="H15" i="3"/>
  <c r="H16" i="3"/>
  <c r="F20" i="3"/>
  <c r="H32" i="3"/>
  <c r="H42" i="3"/>
  <c r="I17" i="3"/>
  <c r="I29" i="3"/>
  <c r="H17" i="3"/>
  <c r="H29" i="3"/>
  <c r="G17" i="3" l="1"/>
  <c r="F31" i="3"/>
  <c r="E31" i="3"/>
  <c r="Z2" i="18"/>
  <c r="I41" i="3"/>
  <c r="H33" i="3"/>
  <c r="I45" i="3"/>
  <c r="I33" i="3"/>
  <c r="H31" i="3"/>
  <c r="G31" i="3"/>
  <c r="F18" i="3"/>
  <c r="H41" i="3"/>
  <c r="H34" i="3"/>
  <c r="I35" i="3"/>
  <c r="I34" i="3"/>
  <c r="Z2" i="19"/>
  <c r="H35" i="3"/>
  <c r="H45" i="3"/>
  <c r="I43" i="3"/>
  <c r="AB2" i="19"/>
  <c r="H28" i="3"/>
  <c r="I28" i="3"/>
  <c r="I18" i="3"/>
  <c r="AB2" i="18"/>
  <c r="E17" i="3"/>
  <c r="Z3" i="7"/>
  <c r="Y3" i="7"/>
  <c r="X3" i="7"/>
  <c r="H18" i="3"/>
  <c r="E18" i="3"/>
  <c r="E23" i="11"/>
  <c r="E29" i="11"/>
  <c r="E32" i="11"/>
  <c r="E31" i="11"/>
  <c r="E30" i="11"/>
  <c r="E28" i="11"/>
  <c r="E27" i="11"/>
  <c r="E24" i="11"/>
  <c r="E25" i="11"/>
  <c r="E26" i="11"/>
  <c r="E33" i="11"/>
  <c r="F14" i="3" l="1"/>
  <c r="G3" i="3"/>
  <c r="E8" i="3"/>
  <c r="F8" i="3"/>
  <c r="G13" i="3"/>
  <c r="F13" i="3"/>
  <c r="E13" i="3"/>
  <c r="G14" i="3"/>
  <c r="F3" i="3"/>
  <c r="E14" i="3"/>
  <c r="G8" i="3"/>
  <c r="G10" i="3"/>
  <c r="F10" i="3"/>
  <c r="E10" i="3"/>
  <c r="G48" i="3"/>
  <c r="F48" i="3"/>
  <c r="E48" i="3"/>
  <c r="AC4" i="17"/>
  <c r="AC3" i="16"/>
  <c r="AC4" i="16"/>
  <c r="AC4" i="15"/>
  <c r="AC3" i="17"/>
  <c r="AC3" i="15"/>
  <c r="AC2" i="15"/>
  <c r="AC2" i="16"/>
  <c r="AC2" i="17"/>
  <c r="F46" i="3"/>
  <c r="G46" i="3"/>
  <c r="E46" i="3"/>
  <c r="E7" i="3"/>
  <c r="F6" i="3"/>
  <c r="F7" i="3"/>
  <c r="F9" i="3"/>
  <c r="E9" i="3"/>
  <c r="G6" i="3"/>
  <c r="G7" i="3"/>
  <c r="E6" i="3"/>
  <c r="G9" i="3"/>
  <c r="E11" i="3"/>
  <c r="E15" i="3"/>
  <c r="G4" i="3"/>
  <c r="G5" i="3"/>
  <c r="F15" i="3"/>
  <c r="G11" i="3"/>
  <c r="E4" i="3"/>
  <c r="E5" i="3"/>
  <c r="F4" i="3"/>
  <c r="F5" i="3"/>
  <c r="F11" i="3"/>
  <c r="G15" i="3"/>
  <c r="E12" i="3"/>
  <c r="G12" i="3"/>
  <c r="F12" i="3"/>
  <c r="H44" i="3"/>
  <c r="I44" i="3"/>
  <c r="T4" i="15" l="1"/>
  <c r="T4" i="16"/>
  <c r="T2" i="17"/>
  <c r="T3" i="16"/>
  <c r="T2" i="16"/>
  <c r="T3" i="17"/>
  <c r="AF3" i="7"/>
  <c r="F29" i="3"/>
  <c r="E29" i="3"/>
  <c r="G29" i="3"/>
  <c r="T4" i="17"/>
  <c r="AF4" i="7"/>
  <c r="V3" i="17"/>
  <c r="E28" i="3"/>
  <c r="V4" i="15"/>
  <c r="G28" i="3"/>
  <c r="V4" i="16"/>
  <c r="V3" i="16"/>
  <c r="V4" i="17"/>
  <c r="F28" i="3"/>
  <c r="V3" i="15"/>
  <c r="G43" i="3"/>
  <c r="AB3" i="17"/>
  <c r="F43" i="3"/>
  <c r="X3" i="15"/>
  <c r="E45" i="3"/>
  <c r="AB2" i="16"/>
  <c r="Z3" i="17"/>
  <c r="AB2" i="15"/>
  <c r="E34" i="3"/>
  <c r="F41" i="3"/>
  <c r="X4" i="16"/>
  <c r="G34" i="3"/>
  <c r="X4" i="17"/>
  <c r="G45" i="3"/>
  <c r="Z3" i="16"/>
  <c r="F34" i="3"/>
  <c r="Z2" i="16"/>
  <c r="F33" i="3"/>
  <c r="G35" i="3"/>
  <c r="F35" i="3"/>
  <c r="Z2" i="15"/>
  <c r="X4" i="15"/>
  <c r="Z2" i="17"/>
  <c r="Z3" i="15"/>
  <c r="G41" i="3"/>
  <c r="AB2" i="17"/>
  <c r="E33" i="3"/>
  <c r="E43" i="3"/>
  <c r="AB3" i="16"/>
  <c r="X3" i="16"/>
  <c r="E41" i="3"/>
  <c r="G33" i="3"/>
  <c r="E35" i="3"/>
  <c r="AB3" i="15"/>
  <c r="F45" i="3"/>
  <c r="X3" i="17"/>
  <c r="T2" i="15"/>
  <c r="AF5" i="7"/>
  <c r="T3" i="15"/>
  <c r="V4" i="7" l="1"/>
  <c r="V3" i="7"/>
  <c r="V5" i="7"/>
  <c r="X4" i="7"/>
  <c r="AC4" i="7"/>
  <c r="AE3" i="7"/>
  <c r="Z5" i="7"/>
  <c r="AC3" i="7"/>
  <c r="F44" i="3"/>
  <c r="E44" i="3"/>
  <c r="G44" i="3"/>
  <c r="Z4" i="7"/>
  <c r="AE4" i="7"/>
  <c r="X5" i="7"/>
</calcChain>
</file>

<file path=xl/comments1.xml><?xml version="1.0" encoding="utf-8"?>
<comments xmlns="http://schemas.openxmlformats.org/spreadsheetml/2006/main">
  <authors>
    <author>liuyi</author>
  </authors>
  <commentList>
    <comment ref="F2" authorId="0" shapeId="0">
      <text>
        <r>
          <rPr>
            <b/>
            <sz val="10"/>
            <color indexed="81"/>
            <rFont val="宋体"/>
            <family val="3"/>
            <charset val="134"/>
          </rPr>
          <t>liuyi:</t>
        </r>
        <r>
          <rPr>
            <sz val="10"/>
            <color indexed="81"/>
            <rFont val="宋体"/>
            <family val="3"/>
            <charset val="134"/>
          </rPr>
          <t xml:space="preserve">
取预告信标上游第一个计轴点到下游信号机区间的最大限速，当计算接近区段长度比该计轴点与进路始端信号机处计轴点间距离长，取上游第二个计轴点，以此类推；</t>
        </r>
      </text>
    </comment>
    <comment ref="H2" authorId="0" shapeId="0">
      <text>
        <r>
          <rPr>
            <b/>
            <sz val="10"/>
            <color indexed="81"/>
            <rFont val="宋体"/>
            <family val="3"/>
            <charset val="134"/>
          </rPr>
          <t>liuyi:</t>
        </r>
        <r>
          <rPr>
            <sz val="10"/>
            <color indexed="81"/>
            <rFont val="宋体"/>
            <family val="3"/>
            <charset val="134"/>
          </rPr>
          <t xml:space="preserve">
上坡为正、下坡为负；
取接近区段安全制动距离内带符号最小平均值；若计算所得安全制动距离范围内平均坡度比该值小，需重新计算</t>
        </r>
      </text>
    </comment>
  </commentList>
</comments>
</file>

<file path=xl/connections.xml><?xml version="1.0" encoding="utf-8"?>
<connections xmlns="http://schemas.openxmlformats.org/spreadsheetml/2006/main">
  <connection id="1" name="输入参数1" type="6" refreshedVersion="4" background="1" saveData="1">
    <textPr codePage="936" sourceFile="E:\__004 异构参数计算工具\输入参数.csv" comma="1">
      <textFields count="6">
        <textField/>
        <textField/>
        <textField/>
        <textField/>
        <textField/>
        <textField/>
      </textFields>
    </textPr>
  </connection>
</connections>
</file>

<file path=xl/sharedStrings.xml><?xml version="1.0" encoding="utf-8"?>
<sst xmlns="http://schemas.openxmlformats.org/spreadsheetml/2006/main" count="1456" uniqueCount="746">
  <si>
    <t>m/s/s</t>
  </si>
  <si>
    <t>ms</t>
    <phoneticPr fontId="1" type="noConversion"/>
  </si>
  <si>
    <t>mm</t>
    <phoneticPr fontId="1" type="noConversion"/>
  </si>
  <si>
    <t xml:space="preserve">OPG之间速度不一致时的宽恕时间，用来对偶发的干扰情况进行过滤以提高可用性 </t>
  </si>
  <si>
    <t xml:space="preserve">从信标读取设备获取到信标到交由ATP业务软件的最大延迟 </t>
  </si>
  <si>
    <t xml:space="preserve">ZC向CBI发送列车通过信号的持续时间 </t>
  </si>
  <si>
    <t xml:space="preserve">联锁发出PSD使能/开门命令到确认PSD打开的延迟时间 </t>
  </si>
  <si>
    <t xml:space="preserve">轮径校准过程中，所能接受的两个校准信标的最小间距 </t>
  </si>
  <si>
    <t xml:space="preserve">轮径校准过程中，所能接受的两个校准信标的最大间距 </t>
  </si>
  <si>
    <t xml:space="preserve">用于通信列车车头筛选的距离 </t>
  </si>
  <si>
    <t xml:space="preserve">用于通信列车车尾筛选的距离 </t>
  </si>
  <si>
    <t xml:space="preserve">与危险边界预留的余量，作为列车与危险边界的固定隔离距离 </t>
  </si>
  <si>
    <t xml:space="preserve">在ATP防护下，可能的列车最大退行距离 </t>
  </si>
  <si>
    <t xml:space="preserve">CBTC列车与非通信列车之间的缓冲距离 </t>
  </si>
  <si>
    <t>m</t>
  </si>
  <si>
    <t>Equip</t>
  </si>
  <si>
    <t>ms</t>
  </si>
  <si>
    <t>m/s</t>
  </si>
  <si>
    <t>Project</t>
  </si>
  <si>
    <t>km/h</t>
  </si>
  <si>
    <t>Conf_BizcCycle</t>
  </si>
  <si>
    <t>Conf_BiccCycle</t>
  </si>
  <si>
    <t>Conf_DcsDelay</t>
  </si>
  <si>
    <t>Conf_NetworkMargin</t>
  </si>
  <si>
    <t>Conf_LocDiff</t>
    <phoneticPr fontId="1" type="noConversion"/>
  </si>
  <si>
    <t>ms</t>
    <phoneticPr fontId="1" type="noConversion"/>
  </si>
  <si>
    <t>Proj_LineSpdLimit</t>
    <phoneticPr fontId="1" type="noConversion"/>
  </si>
  <si>
    <t>Proj_PlatSpdLimit</t>
    <phoneticPr fontId="1" type="noConversion"/>
  </si>
  <si>
    <t>Conf_MaxSlideBackDist</t>
    <phoneticPr fontId="1" type="noConversion"/>
  </si>
  <si>
    <t>‰</t>
    <phoneticPr fontId="1" type="noConversion"/>
  </si>
  <si>
    <t>m</t>
    <phoneticPr fontId="1" type="noConversion"/>
  </si>
  <si>
    <t>km/h</t>
    <phoneticPr fontId="1" type="noConversion"/>
  </si>
  <si>
    <t>km/h</t>
    <phoneticPr fontId="1" type="noConversion"/>
  </si>
  <si>
    <t>ms</t>
    <phoneticPr fontId="1" type="noConversion"/>
  </si>
  <si>
    <t>雷达供货方</t>
  </si>
  <si>
    <t>PSD供货方</t>
  </si>
  <si>
    <r>
      <rPr>
        <sz val="10"/>
        <color theme="1"/>
        <rFont val="宋体"/>
        <family val="3"/>
        <charset val="134"/>
      </rPr>
      <t>列车编组方式</t>
    </r>
  </si>
  <si>
    <t>m</t>
    <phoneticPr fontId="1" type="noConversion"/>
  </si>
  <si>
    <t>m</t>
    <phoneticPr fontId="1" type="noConversion"/>
  </si>
  <si>
    <t>Proj_BeaconFixDiff</t>
    <phoneticPr fontId="1" type="noConversion"/>
  </si>
  <si>
    <t>m</t>
    <phoneticPr fontId="1" type="noConversion"/>
  </si>
  <si>
    <t>Veh_ConstructSpeed</t>
    <phoneticPr fontId="1" type="noConversion"/>
  </si>
  <si>
    <t>列车构造速度</t>
    <phoneticPr fontId="1" type="noConversion"/>
  </si>
  <si>
    <t>列车全常用制动率</t>
    <phoneticPr fontId="1" type="noConversion"/>
  </si>
  <si>
    <t>Veh_FsbTracCutDelay</t>
    <phoneticPr fontId="1" type="noConversion"/>
  </si>
  <si>
    <t>Veh_EbTracCutDelay</t>
    <phoneticPr fontId="1" type="noConversion"/>
  </si>
  <si>
    <t>Veh_FsbSetDelay</t>
    <phoneticPr fontId="1" type="noConversion"/>
  </si>
  <si>
    <t>Veh_GebSetDelay</t>
    <phoneticPr fontId="1" type="noConversion"/>
  </si>
  <si>
    <t>Veh_EbCoastTime</t>
    <phoneticPr fontId="1" type="noConversion"/>
  </si>
  <si>
    <t>Veh_FsbCoastTime</t>
    <phoneticPr fontId="1" type="noConversion"/>
  </si>
  <si>
    <t>Veh_WheelSurfaceErr</t>
    <phoneticPr fontId="1" type="noConversion"/>
  </si>
  <si>
    <t>车轮踏面外形尺寸误差</t>
    <phoneticPr fontId="1" type="noConversion"/>
  </si>
  <si>
    <t>Veh_MaxWheelDiameter</t>
    <phoneticPr fontId="1" type="noConversion"/>
  </si>
  <si>
    <t>车轮最大轮径</t>
    <phoneticPr fontId="1" type="noConversion"/>
  </si>
  <si>
    <t>车轮最小轮径</t>
    <phoneticPr fontId="1" type="noConversion"/>
  </si>
  <si>
    <t>Veh_DoorWidth</t>
    <phoneticPr fontId="1" type="noConversion"/>
  </si>
  <si>
    <t>车门宽度</t>
    <phoneticPr fontId="1" type="noConversion"/>
  </si>
  <si>
    <t>辆</t>
    <phoneticPr fontId="1" type="noConversion"/>
  </si>
  <si>
    <t>km/h</t>
    <phoneticPr fontId="1" type="noConversion"/>
  </si>
  <si>
    <t>m</t>
    <phoneticPr fontId="1" type="noConversion"/>
  </si>
  <si>
    <t>ms</t>
    <phoneticPr fontId="1" type="noConversion"/>
  </si>
  <si>
    <r>
      <rPr>
        <sz val="10"/>
        <rFont val="宋体"/>
        <family val="3"/>
        <charset val="134"/>
      </rPr>
      <t>联锁区</t>
    </r>
    <phoneticPr fontId="1" type="noConversion"/>
  </si>
  <si>
    <r>
      <rPr>
        <sz val="10"/>
        <rFont val="宋体"/>
        <family val="3"/>
        <charset val="134"/>
      </rPr>
      <t>进路名</t>
    </r>
    <phoneticPr fontId="1" type="noConversion"/>
  </si>
  <si>
    <r>
      <rPr>
        <sz val="10"/>
        <rFont val="宋体"/>
        <family val="3"/>
        <charset val="134"/>
      </rPr>
      <t>始端信号机</t>
    </r>
    <phoneticPr fontId="1" type="noConversion"/>
  </si>
  <si>
    <r>
      <rPr>
        <sz val="10"/>
        <rFont val="宋体"/>
        <family val="3"/>
        <charset val="134"/>
      </rPr>
      <t>终端信号机</t>
    </r>
    <phoneticPr fontId="1" type="noConversion"/>
  </si>
  <si>
    <r>
      <rPr>
        <sz val="10"/>
        <rFont val="宋体"/>
        <family val="3"/>
        <charset val="134"/>
      </rPr>
      <t>泊车区段</t>
    </r>
    <phoneticPr fontId="1" type="noConversion"/>
  </si>
  <si>
    <r>
      <rPr>
        <sz val="10"/>
        <rFont val="宋体"/>
        <family val="3"/>
        <charset val="134"/>
      </rPr>
      <t>泊车区段长度</t>
    </r>
    <r>
      <rPr>
        <sz val="10"/>
        <rFont val="Arial"/>
        <family val="2"/>
      </rPr>
      <t>m</t>
    </r>
    <phoneticPr fontId="1" type="noConversion"/>
  </si>
  <si>
    <r>
      <rPr>
        <sz val="10"/>
        <rFont val="宋体"/>
        <family val="3"/>
        <charset val="134"/>
      </rPr>
      <t>保护区段</t>
    </r>
    <phoneticPr fontId="1" type="noConversion"/>
  </si>
  <si>
    <t>Proj_Sig2AxleDist</t>
    <phoneticPr fontId="1" type="noConversion"/>
  </si>
  <si>
    <t>列车后溜EB触发距离</t>
    <phoneticPr fontId="1" type="noConversion"/>
  </si>
  <si>
    <t>列车检测EB至牵引切除时间</t>
    <phoneticPr fontId="1" type="noConversion"/>
  </si>
  <si>
    <t>Veh_MinWheelDiameter</t>
    <phoneticPr fontId="1" type="noConversion"/>
  </si>
  <si>
    <t>CFG_T_CC_ALIVE_TO_CBI</t>
  </si>
  <si>
    <t>CFG_L_MIN_DIST_IN_2_WDCBCN</t>
  </si>
  <si>
    <t>CFG_L_MAX_DIST_IN_2_WDCBCN</t>
  </si>
  <si>
    <t>CFG_T_OPG_OPG_VERIFY</t>
  </si>
  <si>
    <t>CFG_ERR_MAX_LOC</t>
  </si>
  <si>
    <t>CFG_L_RS_HEAD_FILTER</t>
  </si>
  <si>
    <t>CFG_L_RS_REAR_FILTER</t>
  </si>
  <si>
    <t>CFG_D_SAFETY_MARGIN</t>
  </si>
  <si>
    <t>CFG_D_MAX_REV_DIST</t>
  </si>
  <si>
    <t>CFG_D_RS_BUFFER</t>
  </si>
  <si>
    <t>CFG_D_ROLL_AWAY_DETECT</t>
  </si>
  <si>
    <t>CFG_T_PSD_STATUS_CONFIRM</t>
  </si>
  <si>
    <t>V1.3.2</t>
    <phoneticPr fontId="1" type="noConversion"/>
  </si>
  <si>
    <t>Equ_RadarPulseDist</t>
    <phoneticPr fontId="1" type="noConversion"/>
  </si>
  <si>
    <t>Equ_RadarTrigSpd</t>
    <phoneticPr fontId="1" type="noConversion"/>
  </si>
  <si>
    <t>Equ_RadarSpdDiff</t>
    <phoneticPr fontId="1" type="noConversion"/>
  </si>
  <si>
    <t>Equ_RadarCycle</t>
    <phoneticPr fontId="1" type="noConversion"/>
  </si>
  <si>
    <t>Equ_CyclePulseCount</t>
    <phoneticPr fontId="1" type="noConversion"/>
  </si>
  <si>
    <t>Equ_BeaconReadDiff</t>
    <phoneticPr fontId="1" type="noConversion"/>
  </si>
  <si>
    <t>Equ_PsdProcessDelay</t>
    <phoneticPr fontId="1" type="noConversion"/>
  </si>
  <si>
    <t>Equ_PsdWidth</t>
    <phoneticPr fontId="1" type="noConversion"/>
  </si>
  <si>
    <t>Proj_Sp2AxleDist</t>
    <phoneticPr fontId="1" type="noConversion"/>
  </si>
  <si>
    <t>Conf_SafeMarginDist</t>
    <phoneticPr fontId="1" type="noConversion"/>
  </si>
  <si>
    <t>Proj_MaxLineGrad</t>
    <phoneticPr fontId="1" type="noConversion"/>
  </si>
  <si>
    <t>Veh_NormDec</t>
    <phoneticPr fontId="1" type="noConversion"/>
  </si>
  <si>
    <t>Conf_BilockCycle</t>
    <phoneticPr fontId="1" type="noConversion"/>
  </si>
  <si>
    <t>m</t>
    <phoneticPr fontId="1" type="noConversion"/>
  </si>
  <si>
    <t>V0.0.1</t>
    <phoneticPr fontId="1" type="noConversion"/>
  </si>
  <si>
    <t>V0.0.2</t>
    <phoneticPr fontId="1" type="noConversion"/>
  </si>
  <si>
    <t>V1.3.3</t>
    <phoneticPr fontId="1" type="noConversion"/>
  </si>
  <si>
    <t>新建文档</t>
    <phoneticPr fontId="1" type="noConversion"/>
  </si>
  <si>
    <t>根据验证报告修改相关内容</t>
    <phoneticPr fontId="1" type="noConversion"/>
  </si>
  <si>
    <t>CFG_T_OVERLAP_ZC_TIMEOUT</t>
    <phoneticPr fontId="1" type="noConversion"/>
  </si>
  <si>
    <t>CFG_D_MAX_ROLL_AWAY</t>
    <phoneticPr fontId="1" type="noConversion"/>
  </si>
  <si>
    <t>V1.0</t>
    <phoneticPr fontId="1" type="noConversion"/>
  </si>
  <si>
    <t>正式发布</t>
    <phoneticPr fontId="1" type="noConversion"/>
  </si>
  <si>
    <t>V1.4</t>
    <phoneticPr fontId="1" type="noConversion"/>
  </si>
  <si>
    <t>根据系统关键参数文档修改</t>
    <phoneticPr fontId="1" type="noConversion"/>
  </si>
  <si>
    <t>V1.4.1</t>
    <phoneticPr fontId="1" type="noConversion"/>
  </si>
  <si>
    <t>mm</t>
  </si>
  <si>
    <t>0.88</t>
  </si>
  <si>
    <t>200</t>
  </si>
  <si>
    <t>100</t>
  </si>
  <si>
    <t>1.6</t>
  </si>
  <si>
    <t>60</t>
    <phoneticPr fontId="9" type="noConversion"/>
  </si>
  <si>
    <t>0.05</t>
  </si>
  <si>
    <t>0.5</t>
  </si>
  <si>
    <t>200</t>
    <phoneticPr fontId="9" type="noConversion"/>
  </si>
  <si>
    <t>3000</t>
  </si>
  <si>
    <t>400</t>
  </si>
  <si>
    <t>70</t>
  </si>
  <si>
    <r>
      <rPr>
        <sz val="10"/>
        <rFont val="宋体"/>
        <family val="3"/>
        <charset val="134"/>
      </rPr>
      <t>进路最差
坡度</t>
    </r>
    <r>
      <rPr>
        <sz val="10"/>
        <rFont val="Arial"/>
        <family val="2"/>
      </rPr>
      <t>‰</t>
    </r>
    <phoneticPr fontId="1" type="noConversion"/>
  </si>
  <si>
    <t>Veh_Length</t>
    <phoneticPr fontId="1" type="noConversion"/>
  </si>
  <si>
    <t>0.5</t>
    <phoneticPr fontId="9" type="noConversion"/>
  </si>
  <si>
    <t>mm</t>
    <phoneticPr fontId="1" type="noConversion"/>
  </si>
  <si>
    <t>km/h</t>
    <phoneticPr fontId="1" type="noConversion"/>
  </si>
  <si>
    <t>Veh_CollisionSpd</t>
    <phoneticPr fontId="1" type="noConversion"/>
  </si>
  <si>
    <t>3</t>
    <phoneticPr fontId="1" type="noConversion"/>
  </si>
  <si>
    <t>Equip</t>
    <phoneticPr fontId="1" type="noConversion"/>
  </si>
  <si>
    <t>3</t>
    <phoneticPr fontId="1" type="noConversion"/>
  </si>
  <si>
    <t>Project</t>
    <phoneticPr fontId="1" type="noConversion"/>
  </si>
  <si>
    <t>km/h</t>
    <phoneticPr fontId="1" type="noConversion"/>
  </si>
  <si>
    <t>m</t>
    <phoneticPr fontId="9" type="noConversion"/>
  </si>
  <si>
    <t>Proj_MinSp2EndJumpDist</t>
    <phoneticPr fontId="1" type="noConversion"/>
  </si>
  <si>
    <t>Proj_MinSp2EndOpenDist</t>
    <phoneticPr fontId="9" type="noConversion"/>
  </si>
  <si>
    <t>Project</t>
    <phoneticPr fontId="9" type="noConversion"/>
  </si>
  <si>
    <t>15</t>
    <phoneticPr fontId="9" type="noConversion"/>
  </si>
  <si>
    <t>CFG_T_SPKS_ACTIVE</t>
    <phoneticPr fontId="1" type="noConversion"/>
  </si>
  <si>
    <t>ms</t>
    <phoneticPr fontId="1" type="noConversion"/>
  </si>
  <si>
    <t>10</t>
    <phoneticPr fontId="9" type="noConversion"/>
  </si>
  <si>
    <t>8</t>
    <phoneticPr fontId="9" type="noConversion"/>
  </si>
  <si>
    <t>FALSE</t>
  </si>
  <si>
    <t>Equ_CollisionSpd</t>
    <phoneticPr fontId="1" type="noConversion"/>
  </si>
  <si>
    <t>Equip</t>
    <phoneticPr fontId="9" type="noConversion"/>
  </si>
  <si>
    <t>ms</t>
    <phoneticPr fontId="9" type="noConversion"/>
  </si>
  <si>
    <t>0</t>
    <phoneticPr fontId="9" type="noConversion"/>
  </si>
  <si>
    <r>
      <rPr>
        <sz val="10"/>
        <rFont val="宋体"/>
        <family val="3"/>
        <charset val="134"/>
      </rPr>
      <t>接近区段跨联锁区</t>
    </r>
    <phoneticPr fontId="9" type="noConversion"/>
  </si>
  <si>
    <t>V2.0.1</t>
    <phoneticPr fontId="1" type="noConversion"/>
  </si>
  <si>
    <t>5</t>
    <phoneticPr fontId="9" type="noConversion"/>
  </si>
  <si>
    <r>
      <rPr>
        <sz val="10"/>
        <rFont val="宋体"/>
        <family val="3"/>
        <charset val="134"/>
      </rPr>
      <t>接近区段长度</t>
    </r>
    <r>
      <rPr>
        <sz val="10"/>
        <rFont val="Arial"/>
        <family val="2"/>
      </rPr>
      <t>m</t>
    </r>
    <phoneticPr fontId="9" type="noConversion"/>
  </si>
  <si>
    <t>Equ_LoopComDelay</t>
    <phoneticPr fontId="9" type="noConversion"/>
  </si>
  <si>
    <t>Equip</t>
    <phoneticPr fontId="9" type="noConversion"/>
  </si>
  <si>
    <t>ms</t>
    <phoneticPr fontId="9" type="noConversion"/>
  </si>
  <si>
    <t>CFG_T_CC_ALIVE_TO_ATS</t>
    <phoneticPr fontId="1" type="noConversion"/>
  </si>
  <si>
    <t>CFG_T_ATS_ALIVE_TO_CC</t>
    <phoneticPr fontId="1" type="noConversion"/>
  </si>
  <si>
    <t>CFG_T_ZC_ALIVE_TO_ATS</t>
    <phoneticPr fontId="1" type="noConversion"/>
  </si>
  <si>
    <t>CFG_T_ATS_ALIVE_TO_ZC</t>
    <phoneticPr fontId="1" type="noConversion"/>
  </si>
  <si>
    <t>CFG_T_CBI_ALIVE_TO_ATS</t>
    <phoneticPr fontId="1" type="noConversion"/>
  </si>
  <si>
    <t>Conf_BiviewCycle</t>
    <phoneticPr fontId="9" type="noConversion"/>
  </si>
  <si>
    <t>30</t>
    <phoneticPr fontId="9" type="noConversion"/>
  </si>
  <si>
    <t>25</t>
    <phoneticPr fontId="9" type="noConversion"/>
  </si>
  <si>
    <t>V2.0.3</t>
    <phoneticPr fontId="1" type="noConversion"/>
  </si>
  <si>
    <t>V2.0.2</t>
    <phoneticPr fontId="1" type="noConversion"/>
  </si>
  <si>
    <t>V2.0.4</t>
    <phoneticPr fontId="1" type="noConversion"/>
  </si>
  <si>
    <t>Veh_Fsbr</t>
    <phoneticPr fontId="1" type="noConversion"/>
  </si>
  <si>
    <t>CFG_T_EB_OUT</t>
    <phoneticPr fontId="1" type="noConversion"/>
  </si>
  <si>
    <t>CFG_T_EB_SETUP</t>
    <phoneticPr fontId="1" type="noConversion"/>
  </si>
  <si>
    <t>CFG_T_MAX_BCN_DELAY</t>
    <phoneticPr fontId="1" type="noConversion"/>
  </si>
  <si>
    <t>V1.0.1</t>
    <phoneticPr fontId="1" type="noConversion"/>
  </si>
  <si>
    <t>V2.0.0</t>
  </si>
  <si>
    <t>V2.0</t>
    <phoneticPr fontId="1" type="noConversion"/>
  </si>
  <si>
    <t>BiTRACON 800计算模板初始版本</t>
    <phoneticPr fontId="1" type="noConversion"/>
  </si>
  <si>
    <t>V2.0.5</t>
  </si>
  <si>
    <t>V2.0.5</t>
    <phoneticPr fontId="1" type="noConversion"/>
  </si>
  <si>
    <t>CFG_L_MIN_MAL_ON_OVERLAP</t>
    <phoneticPr fontId="9" type="noConversion"/>
  </si>
  <si>
    <t>5000</t>
    <phoneticPr fontId="9" type="noConversion"/>
  </si>
  <si>
    <t>V2.0.6</t>
    <phoneticPr fontId="1" type="noConversion"/>
  </si>
  <si>
    <t>Veh_Hook2Ante</t>
    <phoneticPr fontId="1" type="noConversion"/>
  </si>
  <si>
    <t>Veh_Hook2Roller</t>
    <phoneticPr fontId="1" type="noConversion"/>
  </si>
  <si>
    <t>Proj_MaxPlatGrad</t>
    <phoneticPr fontId="1" type="noConversion"/>
  </si>
  <si>
    <r>
      <t>CFG_T_ROUTE_VALID_DMC
ATP</t>
    </r>
    <r>
      <rPr>
        <sz val="10"/>
        <rFont val="宋体"/>
        <family val="3"/>
        <charset val="134"/>
      </rPr>
      <t>点式</t>
    </r>
    <r>
      <rPr>
        <sz val="10"/>
        <rFont val="Arial"/>
        <family val="2"/>
      </rPr>
      <t>MAL</t>
    </r>
    <r>
      <rPr>
        <sz val="10"/>
        <rFont val="宋体"/>
        <family val="3"/>
        <charset val="134"/>
      </rPr>
      <t>有效时间</t>
    </r>
    <r>
      <rPr>
        <sz val="10"/>
        <rFont val="Arial"/>
        <family val="2"/>
      </rPr>
      <t>s(DMC)</t>
    </r>
    <phoneticPr fontId="9" type="noConversion"/>
  </si>
  <si>
    <t>CFG_T_ROUTE_VALID_DMC</t>
    <phoneticPr fontId="1" type="noConversion"/>
  </si>
  <si>
    <t>ms</t>
    <phoneticPr fontId="1" type="noConversion"/>
  </si>
  <si>
    <t>CFG_T_ROUTE_VALID_IMC</t>
    <phoneticPr fontId="1" type="noConversion"/>
  </si>
  <si>
    <t>ms</t>
    <phoneticPr fontId="1" type="noConversion"/>
  </si>
  <si>
    <r>
      <t>CFG_T_ROUTE_VALID_IMC
ATP</t>
    </r>
    <r>
      <rPr>
        <sz val="10"/>
        <rFont val="宋体"/>
        <family val="3"/>
        <charset val="134"/>
      </rPr>
      <t>点式</t>
    </r>
    <r>
      <rPr>
        <sz val="10"/>
        <rFont val="Arial"/>
        <family val="2"/>
      </rPr>
      <t>MAL</t>
    </r>
    <r>
      <rPr>
        <sz val="10"/>
        <rFont val="宋体"/>
        <family val="3"/>
        <charset val="134"/>
      </rPr>
      <t>有效时间</t>
    </r>
    <r>
      <rPr>
        <sz val="10"/>
        <rFont val="Arial"/>
        <family val="2"/>
      </rPr>
      <t>s(IMC)</t>
    </r>
    <phoneticPr fontId="9" type="noConversion"/>
  </si>
  <si>
    <t>点式车地通信方式</t>
    <phoneticPr fontId="9" type="noConversion"/>
  </si>
  <si>
    <r>
      <rPr>
        <sz val="10"/>
        <rFont val="宋体"/>
        <family val="3"/>
        <charset val="134"/>
      </rPr>
      <t>预告信标到计轴距离</t>
    </r>
    <r>
      <rPr>
        <sz val="10"/>
        <rFont val="Arial"/>
        <family val="2"/>
      </rPr>
      <t>m</t>
    </r>
    <phoneticPr fontId="9" type="noConversion"/>
  </si>
  <si>
    <r>
      <rPr>
        <sz val="10"/>
        <rFont val="宋体"/>
        <family val="3"/>
        <charset val="134"/>
      </rPr>
      <t xml:space="preserve">最大进路限速
</t>
    </r>
    <r>
      <rPr>
        <sz val="10"/>
        <rFont val="Arial"/>
        <family val="2"/>
      </rPr>
      <t>km/h</t>
    </r>
    <phoneticPr fontId="1" type="noConversion"/>
  </si>
  <si>
    <t>V2.0.7</t>
    <phoneticPr fontId="1" type="noConversion"/>
  </si>
  <si>
    <t>CFG_D_SEC_APPROACH</t>
    <phoneticPr fontId="1" type="noConversion"/>
  </si>
  <si>
    <r>
      <t xml:space="preserve">CFG_T_OVERLAP_VALID_BERTH
</t>
    </r>
    <r>
      <rPr>
        <sz val="10"/>
        <rFont val="宋体"/>
        <family val="3"/>
        <charset val="134"/>
      </rPr>
      <t>泊车过程中</t>
    </r>
    <r>
      <rPr>
        <sz val="10"/>
        <rFont val="Arial"/>
        <family val="2"/>
      </rPr>
      <t>ATP</t>
    </r>
    <r>
      <rPr>
        <sz val="10"/>
        <rFont val="宋体"/>
        <family val="3"/>
        <charset val="134"/>
      </rPr>
      <t>保护区段有效时间</t>
    </r>
    <r>
      <rPr>
        <sz val="10"/>
        <rFont val="Arial"/>
        <family val="2"/>
      </rPr>
      <t xml:space="preserve"> s</t>
    </r>
    <phoneticPr fontId="9" type="noConversion"/>
  </si>
  <si>
    <t>Proj_MinSp2SigJumpDist</t>
    <phoneticPr fontId="1" type="noConversion"/>
  </si>
  <si>
    <t>Proj_MinSp2HookOpenDist</t>
    <phoneticPr fontId="9" type="noConversion"/>
  </si>
  <si>
    <t>CFG_T_OVERLAP_VALID_BERTH</t>
    <phoneticPr fontId="1" type="noConversion"/>
  </si>
  <si>
    <t>12</t>
    <phoneticPr fontId="9" type="noConversion"/>
  </si>
  <si>
    <t>Proj_MaxDistBcn2SpOpen</t>
    <phoneticPr fontId="9" type="noConversion"/>
  </si>
  <si>
    <t>CFG_D_MAX_JUMP_DEPOT</t>
    <phoneticPr fontId="1" type="noConversion"/>
  </si>
  <si>
    <t>Proj_MaxDistBcn2SpJump</t>
    <phoneticPr fontId="9" type="noConversion"/>
  </si>
  <si>
    <t>CFG_V_ATPOPEN_SPD</t>
    <phoneticPr fontId="1" type="noConversion"/>
  </si>
  <si>
    <t>45</t>
    <phoneticPr fontId="9" type="noConversion"/>
  </si>
  <si>
    <t>V2.0.8</t>
  </si>
  <si>
    <t>V2.0.8</t>
    <phoneticPr fontId="1" type="noConversion"/>
  </si>
  <si>
    <t>true</t>
  </si>
  <si>
    <t>参数</t>
    <phoneticPr fontId="1" type="noConversion"/>
  </si>
  <si>
    <t>配置值</t>
    <phoneticPr fontId="1" type="noConversion"/>
  </si>
  <si>
    <r>
      <rPr>
        <sz val="10"/>
        <color theme="1"/>
        <rFont val="宋体"/>
        <family val="3"/>
        <charset val="134"/>
      </rPr>
      <t>列车车钩到天线中心距离</t>
    </r>
    <phoneticPr fontId="1" type="noConversion"/>
  </si>
  <si>
    <r>
      <rPr>
        <sz val="10"/>
        <color theme="1"/>
        <rFont val="宋体"/>
        <family val="3"/>
        <charset val="134"/>
      </rPr>
      <t>车钩可接受的最大撞击速度</t>
    </r>
    <phoneticPr fontId="1" type="noConversion"/>
  </si>
  <si>
    <t>速度计单圈脉冲点个数</t>
    <phoneticPr fontId="1" type="noConversion"/>
  </si>
  <si>
    <t>个</t>
    <phoneticPr fontId="1" type="noConversion"/>
  </si>
  <si>
    <t>Type_Beacon</t>
  </si>
  <si>
    <t>下行轨</t>
  </si>
  <si>
    <t>D0001</t>
    <phoneticPr fontId="1" type="noConversion"/>
  </si>
  <si>
    <r>
      <rPr>
        <sz val="10"/>
        <color theme="1"/>
        <rFont val="宋体"/>
        <family val="3"/>
        <charset val="134"/>
      </rPr>
      <t>信号机</t>
    </r>
    <r>
      <rPr>
        <sz val="10"/>
        <color theme="1"/>
        <rFont val="Arial"/>
        <family val="2"/>
      </rPr>
      <t>ID</t>
    </r>
    <phoneticPr fontId="9" type="noConversion"/>
  </si>
  <si>
    <t>长链</t>
  </si>
  <si>
    <t>短链</t>
  </si>
  <si>
    <r>
      <rPr>
        <sz val="10"/>
        <rFont val="宋体"/>
        <family val="3"/>
        <charset val="134"/>
      </rPr>
      <t>坐标（</t>
    </r>
    <r>
      <rPr>
        <sz val="10"/>
        <rFont val="Arial"/>
        <family val="2"/>
      </rPr>
      <t>m</t>
    </r>
    <r>
      <rPr>
        <sz val="10"/>
        <rFont val="宋体"/>
        <family val="3"/>
        <charset val="134"/>
      </rPr>
      <t>）</t>
    </r>
    <phoneticPr fontId="9" type="noConversion"/>
  </si>
  <si>
    <r>
      <rPr>
        <sz val="10"/>
        <color theme="1"/>
        <rFont val="宋体"/>
        <family val="3"/>
        <charset val="134"/>
      </rPr>
      <t>上</t>
    </r>
    <r>
      <rPr>
        <sz val="10"/>
        <color theme="1"/>
        <rFont val="Arial"/>
        <family val="2"/>
      </rPr>
      <t>/</t>
    </r>
    <r>
      <rPr>
        <sz val="10"/>
        <color theme="1"/>
        <rFont val="宋体"/>
        <family val="3"/>
        <charset val="134"/>
      </rPr>
      <t>下行轨</t>
    </r>
    <phoneticPr fontId="9" type="noConversion"/>
  </si>
  <si>
    <r>
      <rPr>
        <sz val="10"/>
        <rFont val="宋体"/>
        <family val="3"/>
        <charset val="134"/>
      </rPr>
      <t>变坡点坐标</t>
    </r>
    <phoneticPr fontId="9" type="noConversion"/>
  </si>
  <si>
    <r>
      <rPr>
        <sz val="10"/>
        <color theme="1"/>
        <rFont val="宋体"/>
        <family val="3"/>
        <charset val="134"/>
      </rPr>
      <t>坡度值</t>
    </r>
    <r>
      <rPr>
        <sz val="10"/>
        <color theme="1"/>
        <rFont val="Arial"/>
        <family val="2"/>
      </rPr>
      <t>‰</t>
    </r>
    <phoneticPr fontId="9" type="noConversion"/>
  </si>
  <si>
    <r>
      <rPr>
        <sz val="10"/>
        <color theme="1"/>
        <rFont val="宋体"/>
        <family val="3"/>
        <charset val="134"/>
      </rPr>
      <t>上</t>
    </r>
    <r>
      <rPr>
        <sz val="10"/>
        <color theme="1"/>
        <rFont val="Arial"/>
        <family val="2"/>
      </rPr>
      <t>/</t>
    </r>
    <r>
      <rPr>
        <sz val="10"/>
        <color theme="1"/>
        <rFont val="宋体"/>
        <family val="3"/>
        <charset val="134"/>
      </rPr>
      <t>下行轨</t>
    </r>
    <phoneticPr fontId="9" type="noConversion"/>
  </si>
  <si>
    <r>
      <rPr>
        <sz val="10"/>
        <rFont val="宋体"/>
        <family val="3"/>
        <charset val="134"/>
      </rPr>
      <t>断链点坐标</t>
    </r>
    <phoneticPr fontId="9" type="noConversion"/>
  </si>
  <si>
    <r>
      <rPr>
        <sz val="10"/>
        <color theme="1"/>
        <rFont val="宋体"/>
        <family val="3"/>
        <charset val="134"/>
      </rPr>
      <t>变化长度</t>
    </r>
    <phoneticPr fontId="9" type="noConversion"/>
  </si>
  <si>
    <r>
      <rPr>
        <sz val="10"/>
        <color theme="1"/>
        <rFont val="宋体"/>
        <family val="3"/>
        <charset val="134"/>
      </rPr>
      <t>类型</t>
    </r>
    <phoneticPr fontId="9" type="noConversion"/>
  </si>
  <si>
    <t>屏蔽门控制继电器吸起时间</t>
    <rPh sb="3" eb="4">
      <t>zi xi tong</t>
    </rPh>
    <rPh sb="6" eb="7">
      <t>xia</t>
    </rPh>
    <rPh sb="10" eb="11">
      <t>xiang guanming lingji dian qidong zuo shi jian</t>
    </rPh>
    <phoneticPr fontId="1" type="noConversion"/>
  </si>
  <si>
    <r>
      <t>FSB</t>
    </r>
    <r>
      <rPr>
        <sz val="10"/>
        <color theme="1"/>
        <rFont val="宋体"/>
        <family val="3"/>
        <charset val="134"/>
      </rPr>
      <t>命令下的牵引切除时间（牵引系统收到车载</t>
    </r>
    <r>
      <rPr>
        <sz val="10"/>
        <color theme="1"/>
        <rFont val="Arial"/>
        <family val="2"/>
      </rPr>
      <t>FSB</t>
    </r>
    <r>
      <rPr>
        <sz val="10"/>
        <color theme="1"/>
        <rFont val="宋体"/>
        <family val="3"/>
        <charset val="134"/>
      </rPr>
      <t>指令到牵引切除所需要的时间）</t>
    </r>
    <phoneticPr fontId="1" type="noConversion"/>
  </si>
  <si>
    <r>
      <t>FSB</t>
    </r>
    <r>
      <rPr>
        <sz val="10"/>
        <color theme="1"/>
        <rFont val="宋体"/>
        <family val="3"/>
        <charset val="134"/>
      </rPr>
      <t>惰行时间（牵引切除至</t>
    </r>
    <r>
      <rPr>
        <sz val="10"/>
        <color theme="1"/>
        <rFont val="Arial"/>
        <family val="2"/>
      </rPr>
      <t>10%</t>
    </r>
    <r>
      <rPr>
        <sz val="10"/>
        <color theme="1"/>
        <rFont val="宋体"/>
        <family val="3"/>
        <charset val="134"/>
      </rPr>
      <t>制动力的建立）</t>
    </r>
    <phoneticPr fontId="1" type="noConversion"/>
  </si>
  <si>
    <t>站台最差下坡坡度（按绝对值取值）</t>
    <phoneticPr fontId="1" type="noConversion"/>
  </si>
  <si>
    <t>开口防护停车点到前方车钩距离（列检库存在两个停车位的情况下，入口处停车位到尽头停车位停稳列车车钩的距离）</t>
    <phoneticPr fontId="9" type="noConversion"/>
  </si>
  <si>
    <t>站台永久限速</t>
    <phoneticPr fontId="9" type="noConversion"/>
  </si>
  <si>
    <t>车载允许退行的最大距离</t>
    <phoneticPr fontId="1" type="noConversion"/>
  </si>
  <si>
    <t>线路最差下坡坡度（按绝对值取值）</t>
    <phoneticPr fontId="1" type="noConversion"/>
  </si>
  <si>
    <t>停车点距离站台区段计轴最大距离</t>
    <phoneticPr fontId="1" type="noConversion"/>
  </si>
  <si>
    <r>
      <rPr>
        <sz val="10"/>
        <rFont val="宋体"/>
        <family val="3"/>
        <charset val="134"/>
      </rPr>
      <t>泊车区段最差坡度</t>
    </r>
    <r>
      <rPr>
        <sz val="10"/>
        <rFont val="Arial"/>
        <family val="2"/>
      </rPr>
      <t>‰</t>
    </r>
    <phoneticPr fontId="1" type="noConversion"/>
  </si>
  <si>
    <r>
      <rPr>
        <sz val="10"/>
        <rFont val="宋体"/>
        <family val="3"/>
        <charset val="134"/>
      </rPr>
      <t>接近信标到计轴距离</t>
    </r>
    <r>
      <rPr>
        <sz val="10"/>
        <rFont val="Arial"/>
        <family val="2"/>
      </rPr>
      <t>m</t>
    </r>
    <phoneticPr fontId="9" type="noConversion"/>
  </si>
  <si>
    <r>
      <rPr>
        <sz val="10"/>
        <rFont val="宋体"/>
        <family val="3"/>
        <charset val="134"/>
      </rPr>
      <t>预告信标</t>
    </r>
    <r>
      <rPr>
        <sz val="10"/>
        <rFont val="Arial"/>
        <family val="2"/>
      </rPr>
      <t>/</t>
    </r>
    <r>
      <rPr>
        <sz val="10"/>
        <rFont val="宋体"/>
        <family val="3"/>
        <charset val="134"/>
      </rPr>
      <t xml:space="preserve">环线
</t>
    </r>
    <r>
      <rPr>
        <i/>
        <sz val="10"/>
        <color rgb="FFFF0000"/>
        <rFont val="宋体"/>
        <family val="3"/>
        <charset val="134"/>
      </rPr>
      <t>（无则填</t>
    </r>
    <r>
      <rPr>
        <i/>
        <sz val="10"/>
        <color rgb="FFFF0000"/>
        <rFont val="Arial"/>
        <family val="2"/>
      </rPr>
      <t>N/A</t>
    </r>
    <r>
      <rPr>
        <i/>
        <sz val="10"/>
        <color rgb="FFFF0000"/>
        <rFont val="宋体"/>
        <family val="3"/>
        <charset val="134"/>
      </rPr>
      <t>）</t>
    </r>
    <phoneticPr fontId="9" type="noConversion"/>
  </si>
  <si>
    <r>
      <rPr>
        <sz val="10"/>
        <rFont val="宋体"/>
        <family val="3"/>
        <charset val="134"/>
      </rPr>
      <t>泊车区段停车时间</t>
    </r>
    <r>
      <rPr>
        <sz val="10"/>
        <rFont val="Arial"/>
        <family val="2"/>
      </rPr>
      <t xml:space="preserve">s
</t>
    </r>
    <r>
      <rPr>
        <i/>
        <sz val="10"/>
        <color rgb="FFFF0000"/>
        <rFont val="宋体"/>
        <family val="3"/>
        <charset val="134"/>
      </rPr>
      <t>（无站停业务填</t>
    </r>
    <r>
      <rPr>
        <i/>
        <sz val="10"/>
        <color rgb="FFFF0000"/>
        <rFont val="Arial"/>
        <family val="2"/>
      </rPr>
      <t>0</t>
    </r>
    <r>
      <rPr>
        <i/>
        <sz val="10"/>
        <color rgb="FFFF0000"/>
        <rFont val="宋体"/>
        <family val="3"/>
        <charset val="134"/>
      </rPr>
      <t>）</t>
    </r>
    <phoneticPr fontId="9" type="noConversion"/>
  </si>
  <si>
    <t>km/h</t>
    <phoneticPr fontId="9" type="noConversion"/>
  </si>
  <si>
    <t>15</t>
    <phoneticPr fontId="9" type="noConversion"/>
  </si>
  <si>
    <r>
      <rPr>
        <sz val="10"/>
        <rFont val="宋体"/>
        <family val="3"/>
        <charset val="134"/>
      </rPr>
      <t xml:space="preserve">接近信标
</t>
    </r>
    <r>
      <rPr>
        <i/>
        <sz val="10"/>
        <color rgb="FFFF0000"/>
        <rFont val="宋体"/>
        <family val="3"/>
        <charset val="134"/>
      </rPr>
      <t>（无则填</t>
    </r>
    <r>
      <rPr>
        <i/>
        <sz val="10"/>
        <color rgb="FFFF0000"/>
        <rFont val="Arial"/>
        <family val="2"/>
      </rPr>
      <t>N/A</t>
    </r>
    <r>
      <rPr>
        <i/>
        <sz val="10"/>
        <color rgb="FFFF0000"/>
        <rFont val="宋体"/>
        <family val="3"/>
        <charset val="134"/>
      </rPr>
      <t>）</t>
    </r>
    <phoneticPr fontId="9" type="noConversion"/>
  </si>
  <si>
    <t>点式释放限速</t>
    <phoneticPr fontId="9" type="noConversion"/>
  </si>
  <si>
    <r>
      <t xml:space="preserve">CFG_T_OVERLAP_VALID_ROUTE
</t>
    </r>
    <r>
      <rPr>
        <sz val="10"/>
        <rFont val="宋体"/>
        <family val="3"/>
        <charset val="134"/>
      </rPr>
      <t>轧入进路后</t>
    </r>
    <r>
      <rPr>
        <sz val="10"/>
        <rFont val="Arial"/>
        <family val="2"/>
      </rPr>
      <t>ATP</t>
    </r>
    <r>
      <rPr>
        <sz val="10"/>
        <rFont val="宋体"/>
        <family val="3"/>
        <charset val="134"/>
      </rPr>
      <t>保护区段最大有效时间</t>
    </r>
    <r>
      <rPr>
        <sz val="10"/>
        <rFont val="Arial"/>
        <family val="2"/>
      </rPr>
      <t xml:space="preserve">s </t>
    </r>
    <phoneticPr fontId="9" type="noConversion"/>
  </si>
  <si>
    <t>V2.0.9</t>
    <phoneticPr fontId="1" type="noConversion"/>
  </si>
  <si>
    <t>Conf_Cbi2AtsCycle</t>
    <phoneticPr fontId="9" type="noConversion"/>
  </si>
  <si>
    <t>Conf_Cbi2ZcCycle</t>
    <phoneticPr fontId="9" type="noConversion"/>
  </si>
  <si>
    <t>Conf_Zc2CbiCycle</t>
    <phoneticPr fontId="9" type="noConversion"/>
  </si>
  <si>
    <t>Conf_Zc2CcCycle</t>
    <phoneticPr fontId="9" type="noConversion"/>
  </si>
  <si>
    <t>Conf_Cc2ZcCycle</t>
    <phoneticPr fontId="9" type="noConversion"/>
  </si>
  <si>
    <t>Conf_Cc2CbiCycle</t>
    <phoneticPr fontId="9" type="noConversion"/>
  </si>
  <si>
    <t>Conf_Cc2AtsCycle</t>
    <phoneticPr fontId="9" type="noConversion"/>
  </si>
  <si>
    <t>Conf_Zc2ZcCycle</t>
    <phoneticPr fontId="9" type="noConversion"/>
  </si>
  <si>
    <t>Conf_Cbi2CbiCycle</t>
    <phoneticPr fontId="9" type="noConversion"/>
  </si>
  <si>
    <t>互联互通厂家确认</t>
    <rPh sb="0" eb="1">
      <t>zi xing</t>
    </rPh>
    <rPh sb="2" eb="3">
      <t>pei zhi</t>
    </rPh>
    <phoneticPr fontId="1" type="noConversion"/>
  </si>
  <si>
    <t>CFG_T_CBI_ALIVE_TO_CBI</t>
    <phoneticPr fontId="1" type="noConversion"/>
  </si>
  <si>
    <t>CFG_T_ZC_ALIVE_TO_ZC</t>
    <phoneticPr fontId="1" type="noConversion"/>
  </si>
  <si>
    <t>V2.1</t>
    <phoneticPr fontId="1" type="noConversion"/>
  </si>
  <si>
    <t>升级正式版本</t>
    <phoneticPr fontId="1" type="noConversion"/>
  </si>
  <si>
    <t>Proj_MinDriverSpd</t>
    <phoneticPr fontId="1" type="noConversion"/>
  </si>
  <si>
    <t>1</t>
    <phoneticPr fontId="1" type="noConversion"/>
  </si>
  <si>
    <t>2</t>
  </si>
  <si>
    <t>8</t>
  </si>
  <si>
    <t>9</t>
  </si>
  <si>
    <t>10</t>
  </si>
  <si>
    <t>11</t>
  </si>
  <si>
    <t>13</t>
  </si>
  <si>
    <t>14</t>
  </si>
  <si>
    <t>15</t>
  </si>
  <si>
    <t>16</t>
  </si>
  <si>
    <t>17</t>
  </si>
  <si>
    <t>18</t>
  </si>
  <si>
    <t>19</t>
  </si>
  <si>
    <t>20</t>
  </si>
  <si>
    <t>21</t>
  </si>
  <si>
    <t>22</t>
  </si>
  <si>
    <t>23</t>
  </si>
  <si>
    <t>24</t>
  </si>
  <si>
    <t>25</t>
  </si>
  <si>
    <t>26</t>
  </si>
  <si>
    <t>27</t>
  </si>
  <si>
    <t>28</t>
  </si>
  <si>
    <t>29</t>
  </si>
  <si>
    <t>Proj_IAtpCommMode</t>
    <phoneticPr fontId="1" type="noConversion"/>
  </si>
  <si>
    <t>平面图</t>
    <phoneticPr fontId="1" type="noConversion"/>
  </si>
  <si>
    <t>Proj_HandOverCBIDelay</t>
    <phoneticPr fontId="1" type="noConversion"/>
  </si>
  <si>
    <t>Proj_HandOverZCDelay</t>
    <phoneticPr fontId="1" type="noConversion"/>
  </si>
  <si>
    <t>Proj_Zc2CbiDelay</t>
    <phoneticPr fontId="1" type="noConversion"/>
  </si>
  <si>
    <t>Proj_Cbi2ZcDelay</t>
    <phoneticPr fontId="1" type="noConversion"/>
  </si>
  <si>
    <t>Proj_Zc2CcDelay</t>
    <phoneticPr fontId="1" type="noConversion"/>
  </si>
  <si>
    <t>Proj_Cc2ZcDelay</t>
    <phoneticPr fontId="1" type="noConversion"/>
  </si>
  <si>
    <t>Proj_Cbi2CcDelay</t>
    <phoneticPr fontId="1" type="noConversion"/>
  </si>
  <si>
    <t>Proj_Cc2CbiDelay</t>
    <phoneticPr fontId="1" type="noConversion"/>
  </si>
  <si>
    <t>Proj_RmMaxForwSpd</t>
    <phoneticPr fontId="1" type="noConversion"/>
  </si>
  <si>
    <t>Proj_RmMaxBackwSpd</t>
    <phoneticPr fontId="1" type="noConversion"/>
  </si>
  <si>
    <t>Proj_EumMaxSpd</t>
    <phoneticPr fontId="9" type="noConversion"/>
  </si>
  <si>
    <t>Proj_MaxRollBackDist</t>
    <phoneticPr fontId="1" type="noConversion"/>
  </si>
  <si>
    <t>招投标文件</t>
    <phoneticPr fontId="1" type="noConversion"/>
  </si>
  <si>
    <t>30</t>
  </si>
  <si>
    <t>31</t>
  </si>
  <si>
    <t>32</t>
  </si>
  <si>
    <t>33</t>
  </si>
  <si>
    <t>备注</t>
    <phoneticPr fontId="1" type="noConversion"/>
  </si>
  <si>
    <t>Equ_AxleClearDelay</t>
    <phoneticPr fontId="1" type="noConversion"/>
  </si>
  <si>
    <t>Equip</t>
    <phoneticPr fontId="9" type="noConversion"/>
  </si>
  <si>
    <t>ms</t>
    <phoneticPr fontId="9" type="noConversion"/>
  </si>
  <si>
    <t>Conf_PPUProcTime</t>
    <phoneticPr fontId="1" type="noConversion"/>
  </si>
  <si>
    <t>Conf_ReleaseSpd</t>
    <phoneticPr fontId="9" type="noConversion"/>
  </si>
  <si>
    <t>CFG_T_CBI_ALIVE_TO_CC</t>
    <phoneticPr fontId="1" type="noConversion"/>
  </si>
  <si>
    <t>1000</t>
    <phoneticPr fontId="9" type="noConversion"/>
  </si>
  <si>
    <t>屏蔽门全关闭状态继电器落下时间</t>
    <rPh sb="3" eb="4">
      <t>zi xi tong</t>
    </rPh>
    <rPh sb="6" eb="7">
      <t>xia</t>
    </rPh>
    <rPh sb="10" eb="11">
      <t>xiang guanming lingji dian qidong zuo shi jian</t>
    </rPh>
    <phoneticPr fontId="1" type="noConversion"/>
  </si>
  <si>
    <t>Equ_PsdRelayEnergDelay</t>
    <phoneticPr fontId="1" type="noConversion"/>
  </si>
  <si>
    <t>Equ_PsdClsRelayRlsDelay</t>
    <phoneticPr fontId="1" type="noConversion"/>
  </si>
  <si>
    <t>继电器技术规格书</t>
    <phoneticPr fontId="9" type="noConversion"/>
  </si>
  <si>
    <t>3</t>
  </si>
  <si>
    <t>4</t>
  </si>
  <si>
    <t>5</t>
  </si>
  <si>
    <t>6</t>
  </si>
  <si>
    <t>7</t>
  </si>
  <si>
    <t>12</t>
  </si>
  <si>
    <t>Conf_BtmSendDelay</t>
    <phoneticPr fontId="9" type="noConversion"/>
  </si>
  <si>
    <t>CFG_T_OVERLAP_VALID_ROUTE</t>
    <phoneticPr fontId="1" type="noConversion"/>
  </si>
  <si>
    <t>Equ_AxleOccupyDelay</t>
    <phoneticPr fontId="9" type="noConversion"/>
  </si>
  <si>
    <t>CFG_T_CC_ALIVE_TO_ZC</t>
    <phoneticPr fontId="1" type="noConversion"/>
  </si>
  <si>
    <t>CFG_T_ZC_ALIVE_TO_CBI</t>
    <phoneticPr fontId="1" type="noConversion"/>
  </si>
  <si>
    <t>CFG_T_CBI_ALIVE_TO_ZC</t>
    <phoneticPr fontId="1" type="noConversion"/>
  </si>
  <si>
    <t>CFG_T_ZC_ALIVE_TO_CC</t>
    <phoneticPr fontId="1" type="noConversion"/>
  </si>
  <si>
    <t>项目系统设计</t>
    <phoneticPr fontId="1" type="noConversion"/>
  </si>
  <si>
    <t>Proj_ReverseTractCmd</t>
    <phoneticPr fontId="1" type="noConversion"/>
  </si>
  <si>
    <t>系统默认配置</t>
    <phoneticPr fontId="1" type="noConversion"/>
  </si>
  <si>
    <r>
      <rPr>
        <sz val="10"/>
        <rFont val="宋体"/>
        <family val="3"/>
        <charset val="134"/>
      </rPr>
      <t>《城市轨道交通</t>
    </r>
    <r>
      <rPr>
        <sz val="10"/>
        <rFont val="Arial"/>
        <family val="2"/>
      </rPr>
      <t>CBTC</t>
    </r>
    <r>
      <rPr>
        <sz val="10"/>
        <rFont val="宋体"/>
        <family val="3"/>
        <charset val="134"/>
      </rPr>
      <t>信号系统行业技术规范需求规范》</t>
    </r>
    <phoneticPr fontId="1" type="noConversion"/>
  </si>
  <si>
    <r>
      <rPr>
        <sz val="10"/>
        <rFont val="宋体"/>
        <family val="3"/>
        <charset val="134"/>
      </rPr>
      <t>《</t>
    </r>
    <r>
      <rPr>
        <sz val="10"/>
        <rFont val="Arial"/>
        <family val="2"/>
      </rPr>
      <t>ZHKJ-YF-BiTRACON800-IIDS-01-1 BiTRACON 800</t>
    </r>
    <r>
      <rPr>
        <sz val="10"/>
        <rFont val="宋体"/>
        <family val="3"/>
        <charset val="134"/>
      </rPr>
      <t>系统内部接口规格书》</t>
    </r>
    <phoneticPr fontId="1" type="noConversion"/>
  </si>
  <si>
    <r>
      <t>EB</t>
    </r>
    <r>
      <rPr>
        <sz val="10"/>
        <color theme="1"/>
        <rFont val="宋体"/>
        <family val="3"/>
        <charset val="134"/>
      </rPr>
      <t>惰行时间（牵引切除至</t>
    </r>
    <r>
      <rPr>
        <sz val="10"/>
        <color theme="1"/>
        <rFont val="Arial"/>
        <family val="2"/>
      </rPr>
      <t>10%</t>
    </r>
    <r>
      <rPr>
        <sz val="10"/>
        <color theme="1"/>
        <rFont val="宋体"/>
        <family val="3"/>
        <charset val="134"/>
      </rPr>
      <t>制动力的建立。若牵引完全切除时</t>
    </r>
    <r>
      <rPr>
        <sz val="10"/>
        <color theme="1"/>
        <rFont val="Arial"/>
        <family val="2"/>
      </rPr>
      <t>10%</t>
    </r>
    <r>
      <rPr>
        <sz val="10"/>
        <color theme="1"/>
        <rFont val="宋体"/>
        <family val="3"/>
        <charset val="134"/>
      </rPr>
      <t>制动力已建立，则该值为零）</t>
    </r>
    <phoneticPr fontId="1" type="noConversion"/>
  </si>
  <si>
    <t>V2.1.1</t>
    <phoneticPr fontId="1" type="noConversion"/>
  </si>
  <si>
    <r>
      <rPr>
        <b/>
        <sz val="10"/>
        <color theme="1"/>
        <rFont val="宋体"/>
        <family val="3"/>
        <charset val="134"/>
      </rPr>
      <t>配置值</t>
    </r>
    <r>
      <rPr>
        <b/>
        <sz val="10"/>
        <color theme="1"/>
        <rFont val="Arial"/>
        <family val="2"/>
      </rPr>
      <t>1</t>
    </r>
    <phoneticPr fontId="1" type="noConversion"/>
  </si>
  <si>
    <t>配置值2</t>
    <phoneticPr fontId="1" type="noConversion"/>
  </si>
  <si>
    <t>配置值3</t>
    <phoneticPr fontId="1" type="noConversion"/>
  </si>
  <si>
    <t>环线供应方</t>
    <phoneticPr fontId="9" type="noConversion"/>
  </si>
  <si>
    <r>
      <rPr>
        <sz val="10"/>
        <rFont val="宋体"/>
        <family val="3"/>
        <charset val="134"/>
      </rPr>
      <t>平均坡度起算点至信号机距离</t>
    </r>
    <r>
      <rPr>
        <sz val="10"/>
        <rFont val="Arial"/>
        <family val="2"/>
      </rPr>
      <t>m</t>
    </r>
    <r>
      <rPr>
        <i/>
        <sz val="10"/>
        <color rgb="FFFF0000"/>
        <rFont val="Arial"/>
        <family val="2"/>
      </rPr>
      <t>(</t>
    </r>
    <r>
      <rPr>
        <i/>
        <sz val="10"/>
        <color rgb="FFFF0000"/>
        <rFont val="宋体"/>
        <family val="3"/>
        <charset val="134"/>
      </rPr>
      <t>最差接近坡度非平均坡度时，填</t>
    </r>
    <r>
      <rPr>
        <i/>
        <sz val="10"/>
        <color rgb="FFFF0000"/>
        <rFont val="Arial"/>
        <family val="2"/>
      </rPr>
      <t>N/A)</t>
    </r>
    <phoneticPr fontId="9" type="noConversion"/>
  </si>
  <si>
    <r>
      <t>SPKS</t>
    </r>
    <r>
      <rPr>
        <sz val="10"/>
        <rFont val="宋体"/>
        <family val="3"/>
        <charset val="134"/>
      </rPr>
      <t>表示灯激活延迟时间</t>
    </r>
    <r>
      <rPr>
        <sz val="10"/>
        <rFont val="Arial"/>
        <family val="2"/>
      </rPr>
      <t xml:space="preserve">s
</t>
    </r>
    <r>
      <rPr>
        <i/>
        <sz val="10"/>
        <color rgb="FFFF0000"/>
        <rFont val="宋体"/>
        <family val="3"/>
        <charset val="134"/>
      </rPr>
      <t>（以各进路总人解延迟时间自行配置）</t>
    </r>
    <phoneticPr fontId="9" type="noConversion"/>
  </si>
  <si>
    <t>DOWN</t>
  </si>
  <si>
    <t>车头对齐</t>
  </si>
  <si>
    <t>V2.1.2</t>
    <phoneticPr fontId="1" type="noConversion"/>
  </si>
  <si>
    <t>V2.1.2
V2.4</t>
    <phoneticPr fontId="1" type="noConversion"/>
  </si>
  <si>
    <r>
      <rPr>
        <b/>
        <sz val="10"/>
        <color theme="1"/>
        <rFont val="宋体"/>
        <family val="2"/>
        <charset val="134"/>
      </rPr>
      <t>编码规则</t>
    </r>
    <phoneticPr fontId="9" type="noConversion"/>
  </si>
  <si>
    <t>bit7</t>
  </si>
  <si>
    <t>bit5~6</t>
    <phoneticPr fontId="9" type="noConversion"/>
  </si>
  <si>
    <t>bit0~4</t>
    <phoneticPr fontId="9" type="noConversion"/>
  </si>
  <si>
    <r>
      <rPr>
        <sz val="10"/>
        <color theme="1"/>
        <rFont val="宋体"/>
        <family val="3"/>
        <charset val="134"/>
      </rPr>
      <t>停车点上下行：</t>
    </r>
    <r>
      <rPr>
        <sz val="10"/>
        <color theme="1"/>
        <rFont val="Arial"/>
        <family val="2"/>
      </rPr>
      <t xml:space="preserve">            0</t>
    </r>
    <r>
      <rPr>
        <sz val="10"/>
        <color theme="1"/>
        <rFont val="宋体"/>
        <family val="3"/>
        <charset val="134"/>
      </rPr>
      <t xml:space="preserve">：上行
</t>
    </r>
    <r>
      <rPr>
        <sz val="10"/>
        <color theme="1"/>
        <rFont val="Arial"/>
        <family val="2"/>
      </rPr>
      <t>1</t>
    </r>
    <r>
      <rPr>
        <sz val="10"/>
        <color theme="1"/>
        <rFont val="宋体"/>
        <family val="3"/>
        <charset val="134"/>
      </rPr>
      <t>：下行</t>
    </r>
    <phoneticPr fontId="9" type="noConversion"/>
  </si>
  <si>
    <r>
      <rPr>
        <sz val="10"/>
        <color theme="1"/>
        <rFont val="宋体"/>
        <family val="3"/>
        <charset val="134"/>
      </rPr>
      <t xml:space="preserve">停车点属性：
</t>
    </r>
    <r>
      <rPr>
        <sz val="10"/>
        <color theme="1"/>
        <rFont val="Arial"/>
        <family val="2"/>
      </rPr>
      <t>01b</t>
    </r>
    <r>
      <rPr>
        <sz val="10"/>
        <color theme="1"/>
        <rFont val="宋体"/>
        <family val="3"/>
        <charset val="134"/>
      </rPr>
      <t xml:space="preserve">：车头对齐
</t>
    </r>
    <r>
      <rPr>
        <sz val="10"/>
        <color theme="1"/>
        <rFont val="Arial"/>
        <family val="2"/>
      </rPr>
      <t>10b</t>
    </r>
    <r>
      <rPr>
        <sz val="10"/>
        <color theme="1"/>
        <rFont val="宋体"/>
        <family val="3"/>
        <charset val="134"/>
      </rPr>
      <t>：车尾对齐</t>
    </r>
    <phoneticPr fontId="9" type="noConversion"/>
  </si>
  <si>
    <r>
      <rPr>
        <sz val="10"/>
        <color theme="1"/>
        <rFont val="宋体"/>
        <family val="3"/>
        <charset val="134"/>
      </rPr>
      <t>列车实际编组数。
有效值：</t>
    </r>
    <r>
      <rPr>
        <sz val="10"/>
        <color theme="1"/>
        <rFont val="Arial"/>
        <family val="2"/>
      </rPr>
      <t>00001b-01111b</t>
    </r>
    <r>
      <rPr>
        <sz val="10"/>
        <color theme="1"/>
        <rFont val="宋体"/>
        <family val="3"/>
        <charset val="134"/>
      </rPr>
      <t>。
例：</t>
    </r>
    <r>
      <rPr>
        <sz val="10"/>
        <color theme="1"/>
        <rFont val="Arial"/>
        <family val="2"/>
      </rPr>
      <t>00011b</t>
    </r>
    <r>
      <rPr>
        <sz val="10"/>
        <color theme="1"/>
        <rFont val="宋体"/>
        <family val="3"/>
        <charset val="134"/>
      </rPr>
      <t>表示列车为</t>
    </r>
    <r>
      <rPr>
        <sz val="10"/>
        <color theme="1"/>
        <rFont val="Arial"/>
        <family val="2"/>
      </rPr>
      <t>3</t>
    </r>
    <r>
      <rPr>
        <sz val="10"/>
        <color theme="1"/>
        <rFont val="宋体"/>
        <family val="3"/>
        <charset val="134"/>
      </rPr>
      <t>辆编组</t>
    </r>
    <phoneticPr fontId="9" type="noConversion"/>
  </si>
  <si>
    <t>屏蔽门名称</t>
    <phoneticPr fontId="9" type="noConversion"/>
  </si>
  <si>
    <t>屏蔽门编号</t>
    <phoneticPr fontId="9" type="noConversion"/>
  </si>
  <si>
    <t>停车点上下行</t>
    <phoneticPr fontId="9" type="noConversion"/>
  </si>
  <si>
    <t>停车点对齐方式</t>
    <phoneticPr fontId="9" type="noConversion"/>
  </si>
  <si>
    <t>车辆编组</t>
    <phoneticPr fontId="9" type="noConversion"/>
  </si>
  <si>
    <t>屏蔽门ID（16进制）</t>
    <phoneticPr fontId="9" type="noConversion"/>
  </si>
  <si>
    <t>开门码（16进制）</t>
    <phoneticPr fontId="9" type="noConversion"/>
  </si>
  <si>
    <t>platform_psd1</t>
    <phoneticPr fontId="9" type="noConversion"/>
  </si>
  <si>
    <t>0101</t>
    <phoneticPr fontId="9" type="noConversion"/>
  </si>
  <si>
    <t>4</t>
    <phoneticPr fontId="9" type="noConversion"/>
  </si>
  <si>
    <t>platform_psd2</t>
    <phoneticPr fontId="9" type="noConversion"/>
  </si>
  <si>
    <t>0102</t>
  </si>
  <si>
    <t>UP</t>
  </si>
  <si>
    <t>CFG_T_LCROUTE_RELEASE_DMC</t>
    <phoneticPr fontId="1" type="noConversion"/>
  </si>
  <si>
    <t>CFG_T_LCROUTE_RELEASE_IMC</t>
    <phoneticPr fontId="1" type="noConversion"/>
  </si>
  <si>
    <r>
      <t xml:space="preserve">CFG_T_LCROUTE_RELEASE_IMC
</t>
    </r>
    <r>
      <rPr>
        <sz val="10"/>
        <rFont val="宋体"/>
        <family val="3"/>
        <charset val="134"/>
      </rPr>
      <t>联锁进路总人解延迟时间</t>
    </r>
    <r>
      <rPr>
        <sz val="10"/>
        <rFont val="Arial"/>
        <family val="2"/>
      </rPr>
      <t>s(IMC)</t>
    </r>
    <phoneticPr fontId="9" type="noConversion"/>
  </si>
  <si>
    <r>
      <t xml:space="preserve">CFG_T_LCROUTE_RELEASE_DMC
</t>
    </r>
    <r>
      <rPr>
        <sz val="10"/>
        <rFont val="宋体"/>
        <family val="3"/>
        <charset val="134"/>
      </rPr>
      <t>联锁进路总人解延迟时间</t>
    </r>
    <r>
      <rPr>
        <sz val="10"/>
        <rFont val="Arial"/>
        <family val="2"/>
      </rPr>
      <t>s(DMC)</t>
    </r>
    <phoneticPr fontId="9" type="noConversion"/>
  </si>
  <si>
    <t>CFG_T_BERTHSEC_OVERLAP_RELEASE</t>
    <phoneticPr fontId="1" type="noConversion"/>
  </si>
  <si>
    <r>
      <t xml:space="preserve">CFG_T_BERTHSEC_OVERLAP_RELEASE
</t>
    </r>
    <r>
      <rPr>
        <sz val="10"/>
        <rFont val="宋体"/>
        <family val="3"/>
        <charset val="134"/>
      </rPr>
      <t>保护区段泊车区段预取消时间</t>
    </r>
    <r>
      <rPr>
        <sz val="10"/>
        <rFont val="Arial"/>
        <family val="2"/>
      </rPr>
      <t>s</t>
    </r>
    <phoneticPr fontId="9" type="noConversion"/>
  </si>
  <si>
    <t>CFG_T_ROUTE_OVERLAP_RELEASE</t>
    <phoneticPr fontId="1" type="noConversion"/>
  </si>
  <si>
    <r>
      <t xml:space="preserve">CFG_T_ROUTE_OVERLAP_RELEASE
</t>
    </r>
    <r>
      <rPr>
        <sz val="10"/>
        <rFont val="宋体"/>
        <family val="3"/>
        <charset val="134"/>
      </rPr>
      <t>保护区段进路总取消时间</t>
    </r>
    <r>
      <rPr>
        <sz val="10"/>
        <rFont val="Arial"/>
        <family val="2"/>
      </rPr>
      <t>s</t>
    </r>
    <phoneticPr fontId="9" type="noConversion"/>
  </si>
  <si>
    <t>CFG_T_YDROUTE_RELEASE</t>
    <phoneticPr fontId="1" type="noConversion"/>
  </si>
  <si>
    <r>
      <t>CFG_T_YDROUTE_RELEASE</t>
    </r>
    <r>
      <rPr>
        <sz val="10"/>
        <rFont val="宋体"/>
        <family val="3"/>
        <charset val="134"/>
      </rPr>
      <t xml:space="preserve">
引导进路延迟解锁时间</t>
    </r>
    <r>
      <rPr>
        <sz val="10"/>
        <rFont val="Arial"/>
        <family val="2"/>
      </rPr>
      <t>s</t>
    </r>
    <phoneticPr fontId="9" type="noConversion"/>
  </si>
  <si>
    <t>运营方</t>
    <phoneticPr fontId="1" type="noConversion"/>
  </si>
  <si>
    <t>V2.1.3</t>
    <phoneticPr fontId="1" type="noConversion"/>
  </si>
  <si>
    <t>V2.1.3
V2.4</t>
    <phoneticPr fontId="1" type="noConversion"/>
  </si>
  <si>
    <t>V2.1.4</t>
    <phoneticPr fontId="1" type="noConversion"/>
  </si>
  <si>
    <r>
      <rPr>
        <sz val="10"/>
        <rFont val="宋体"/>
        <family val="3"/>
        <charset val="134"/>
      </rPr>
      <t>《</t>
    </r>
    <r>
      <rPr>
        <sz val="10"/>
        <rFont val="Arial"/>
        <family val="2"/>
      </rPr>
      <t>ZHJD-YF-BiSTAR-RAMS-02-1 BiSTAR</t>
    </r>
    <r>
      <rPr>
        <sz val="10"/>
        <rFont val="宋体"/>
        <family val="3"/>
        <charset val="134"/>
      </rPr>
      <t>平台系统安全应用条件》</t>
    </r>
    <r>
      <rPr>
        <sz val="10"/>
        <rFont val="Arial"/>
        <family val="2"/>
      </rPr>
      <t>[BiSTAR_SRAC_38]</t>
    </r>
    <phoneticPr fontId="1" type="noConversion"/>
  </si>
  <si>
    <r>
      <rPr>
        <sz val="10"/>
        <rFont val="宋体"/>
        <family val="3"/>
        <charset val="134"/>
      </rPr>
      <t>《</t>
    </r>
    <r>
      <rPr>
        <sz val="10"/>
        <rFont val="Arial"/>
        <family val="2"/>
      </rPr>
      <t>ZHJD-YF-BiSTAR-RAMS-02-1 BiSTAR</t>
    </r>
    <r>
      <rPr>
        <sz val="10"/>
        <rFont val="宋体"/>
        <family val="3"/>
        <charset val="134"/>
      </rPr>
      <t>平台系统安全应用条件》</t>
    </r>
    <r>
      <rPr>
        <sz val="10"/>
        <rFont val="Arial"/>
        <family val="2"/>
      </rPr>
      <t>[BiSTAR_SRAC_34]</t>
    </r>
    <phoneticPr fontId="1" type="noConversion"/>
  </si>
  <si>
    <t>Conf_VobOutTime_CC</t>
    <phoneticPr fontId="1" type="noConversion"/>
  </si>
  <si>
    <t>Conf_VibInTime_CC</t>
    <phoneticPr fontId="1" type="noConversion"/>
  </si>
  <si>
    <t>Conf_ComOutTime_CC</t>
    <phoneticPr fontId="1" type="noConversion"/>
  </si>
  <si>
    <t>Conf_ComInTime_CC</t>
    <phoneticPr fontId="1" type="noConversion"/>
  </si>
  <si>
    <t>Conf_ComOutTime_ZC</t>
    <phoneticPr fontId="1" type="noConversion"/>
  </si>
  <si>
    <t>Conf_ComInTime_ZC</t>
    <phoneticPr fontId="1" type="noConversion"/>
  </si>
  <si>
    <t>Conf_VobOutTime_CBI</t>
    <phoneticPr fontId="1" type="noConversion"/>
  </si>
  <si>
    <t>Conf_VibInTime_CBI</t>
    <phoneticPr fontId="1" type="noConversion"/>
  </si>
  <si>
    <t>Conf_ComOutTime_CBI</t>
    <phoneticPr fontId="1" type="noConversion"/>
  </si>
  <si>
    <t>Conf_ComInTime_CBI</t>
    <phoneticPr fontId="1" type="noConversion"/>
  </si>
  <si>
    <r>
      <rPr>
        <sz val="10"/>
        <rFont val="宋体"/>
        <family val="3"/>
        <charset val="134"/>
      </rPr>
      <t>《</t>
    </r>
    <r>
      <rPr>
        <sz val="10"/>
        <rFont val="Arial"/>
        <family val="2"/>
      </rPr>
      <t>ZHJD-YF-BiSTAR-RAMS-02-1 BiSTAR</t>
    </r>
    <r>
      <rPr>
        <sz val="10"/>
        <rFont val="宋体"/>
        <family val="3"/>
        <charset val="134"/>
      </rPr>
      <t>平台系统安全应用条件》</t>
    </r>
    <r>
      <rPr>
        <sz val="10"/>
        <rFont val="Arial"/>
        <family val="2"/>
      </rPr>
      <t>[BiSTAR_SRAC_33]</t>
    </r>
    <phoneticPr fontId="1" type="noConversion"/>
  </si>
  <si>
    <r>
      <rPr>
        <sz val="10"/>
        <rFont val="宋体"/>
        <family val="3"/>
        <charset val="134"/>
      </rPr>
      <t>《</t>
    </r>
    <r>
      <rPr>
        <sz val="10"/>
        <rFont val="Arial"/>
        <family val="2"/>
      </rPr>
      <t>ZHJD-YF-BiSTAR-RAMS-02-1 BiSTAR</t>
    </r>
    <r>
      <rPr>
        <sz val="10"/>
        <rFont val="宋体"/>
        <family val="3"/>
        <charset val="134"/>
      </rPr>
      <t>平台系统安全应用条件》</t>
    </r>
    <r>
      <rPr>
        <sz val="10"/>
        <rFont val="Arial"/>
        <family val="2"/>
      </rPr>
      <t>[BiSTAR_SRAC_31&amp;38]</t>
    </r>
    <phoneticPr fontId="1" type="noConversion"/>
  </si>
  <si>
    <t>V2.1.4
V2.6
V1.8</t>
    <phoneticPr fontId="1" type="noConversion"/>
  </si>
  <si>
    <t>1</t>
    <phoneticPr fontId="9" type="noConversion"/>
  </si>
  <si>
    <t>Veb_MaxDec</t>
    <phoneticPr fontId="1" type="noConversion"/>
  </si>
  <si>
    <t>Proj_MinHook2Roller</t>
    <phoneticPr fontId="1" type="noConversion"/>
  </si>
  <si>
    <t>28</t>
    <phoneticPr fontId="9" type="noConversion"/>
  </si>
  <si>
    <t>4.013</t>
    <phoneticPr fontId="9" type="noConversion"/>
  </si>
  <si>
    <t>90</t>
    <phoneticPr fontId="1" type="noConversion"/>
  </si>
  <si>
    <t>Proj_MinVehicleLength</t>
    <phoneticPr fontId="1" type="noConversion"/>
  </si>
  <si>
    <t>最小线上列车长度，不论是装备了信号系统设备的列车还是未装备信号系统设备的列车（最坏情况下的长度）。该长度的测量应从一列车一边的最突出端到另一边的最突出端。</t>
    <phoneticPr fontId="1" type="noConversion"/>
  </si>
  <si>
    <t>线上最短列车车钩到第一轮对距离（可被区段占用检测设备识别）</t>
    <phoneticPr fontId="1" type="noConversion"/>
  </si>
  <si>
    <r>
      <rPr>
        <b/>
        <sz val="10"/>
        <color theme="1"/>
        <rFont val="宋体"/>
        <family val="2"/>
        <charset val="134"/>
      </rPr>
      <t>序号</t>
    </r>
    <phoneticPr fontId="1" type="noConversion"/>
  </si>
  <si>
    <r>
      <rPr>
        <b/>
        <sz val="10"/>
        <color theme="1"/>
        <rFont val="宋体"/>
        <family val="2"/>
        <charset val="134"/>
      </rPr>
      <t>描述</t>
    </r>
    <phoneticPr fontId="1" type="noConversion"/>
  </si>
  <si>
    <r>
      <rPr>
        <b/>
        <sz val="10"/>
        <color theme="1"/>
        <rFont val="宋体"/>
        <family val="2"/>
        <charset val="134"/>
      </rPr>
      <t>单位</t>
    </r>
    <phoneticPr fontId="1" type="noConversion"/>
  </si>
  <si>
    <r>
      <rPr>
        <sz val="10"/>
        <color theme="1"/>
        <rFont val="宋体"/>
        <family val="3"/>
        <charset val="134"/>
      </rPr>
      <t>列车长度（一端车钩到另一端车钩）</t>
    </r>
    <rPh sb="5" eb="6">
      <t>yi duan</t>
    </rPh>
    <rPh sb="6" eb="7">
      <t>duan</t>
    </rPh>
    <rPh sb="7" eb="8">
      <t>che gou</t>
    </rPh>
    <rPh sb="8" eb="9">
      <t>gou</t>
    </rPh>
    <rPh sb="9" eb="10">
      <t>dao</t>
    </rPh>
    <rPh sb="10" eb="11">
      <t>ling yi duan</t>
    </rPh>
    <rPh sb="13" eb="14">
      <t>che gou</t>
    </rPh>
    <phoneticPr fontId="1" type="noConversion"/>
  </si>
  <si>
    <r>
      <rPr>
        <sz val="10"/>
        <color theme="1"/>
        <rFont val="宋体"/>
        <family val="3"/>
        <charset val="134"/>
      </rPr>
      <t>列车车钩到第一轮对距离（可被区段占用检测设备识别）</t>
    </r>
    <phoneticPr fontId="1" type="noConversion"/>
  </si>
  <si>
    <r>
      <rPr>
        <sz val="10"/>
        <color theme="1"/>
        <rFont val="宋体"/>
        <family val="3"/>
        <charset val="134"/>
      </rPr>
      <t>列车最大牵引加速度（不含空转、不含坡度）</t>
    </r>
    <phoneticPr fontId="1" type="noConversion"/>
  </si>
  <si>
    <r>
      <rPr>
        <sz val="10"/>
        <color theme="1"/>
        <rFont val="宋体"/>
        <family val="3"/>
        <charset val="134"/>
      </rPr>
      <t>列车最大制动减速度（不含打滑、不含坡度）</t>
    </r>
    <phoneticPr fontId="1" type="noConversion"/>
  </si>
  <si>
    <r>
      <rPr>
        <sz val="10"/>
        <color theme="1"/>
        <rFont val="宋体"/>
        <family val="3"/>
        <charset val="134"/>
      </rPr>
      <t>列车常用制动率</t>
    </r>
    <phoneticPr fontId="1" type="noConversion"/>
  </si>
  <si>
    <r>
      <rPr>
        <sz val="10"/>
        <color theme="1"/>
        <rFont val="宋体"/>
        <family val="3"/>
        <charset val="134"/>
      </rPr>
      <t>可保证的</t>
    </r>
    <r>
      <rPr>
        <sz val="10"/>
        <color theme="1"/>
        <rFont val="Arial"/>
        <family val="2"/>
      </rPr>
      <t>EB</t>
    </r>
    <r>
      <rPr>
        <sz val="10"/>
        <color theme="1"/>
        <rFont val="宋体"/>
        <family val="3"/>
        <charset val="134"/>
      </rPr>
      <t>制动率</t>
    </r>
    <r>
      <rPr>
        <sz val="10"/>
        <color theme="1"/>
        <rFont val="Arial"/>
        <family val="2"/>
      </rPr>
      <t>GEBR</t>
    </r>
    <r>
      <rPr>
        <sz val="10"/>
        <color theme="1"/>
        <rFont val="宋体"/>
        <family val="3"/>
        <charset val="134"/>
      </rPr>
      <t>（考虑线路最差环境条件）</t>
    </r>
    <phoneticPr fontId="1" type="noConversion"/>
  </si>
  <si>
    <r>
      <t>EB</t>
    </r>
    <r>
      <rPr>
        <sz val="10"/>
        <color theme="1"/>
        <rFont val="宋体"/>
        <family val="3"/>
        <charset val="134"/>
      </rPr>
      <t>命令下的牵引切除延迟时间（牵引系统收到车载</t>
    </r>
    <r>
      <rPr>
        <sz val="10"/>
        <color theme="1"/>
        <rFont val="Arial"/>
        <family val="2"/>
      </rPr>
      <t>EB</t>
    </r>
    <r>
      <rPr>
        <sz val="10"/>
        <color theme="1"/>
        <rFont val="宋体"/>
        <family val="3"/>
        <charset val="134"/>
      </rPr>
      <t>指令到牵引切除所需要的时间）</t>
    </r>
    <phoneticPr fontId="1" type="noConversion"/>
  </si>
  <si>
    <r>
      <t>FSB</t>
    </r>
    <r>
      <rPr>
        <sz val="10"/>
        <color theme="1"/>
        <rFont val="宋体"/>
        <family val="3"/>
        <charset val="134"/>
      </rPr>
      <t>建立时间（制动系统从</t>
    </r>
    <r>
      <rPr>
        <sz val="10"/>
        <color theme="1"/>
        <rFont val="Arial"/>
        <family val="2"/>
      </rPr>
      <t>10%</t>
    </r>
    <r>
      <rPr>
        <sz val="10"/>
        <color theme="1"/>
        <rFont val="宋体"/>
        <family val="3"/>
        <charset val="134"/>
      </rPr>
      <t>至</t>
    </r>
    <r>
      <rPr>
        <sz val="10"/>
        <color theme="1"/>
        <rFont val="Arial"/>
        <family val="2"/>
      </rPr>
      <t>90%</t>
    </r>
    <r>
      <rPr>
        <sz val="10"/>
        <color theme="1"/>
        <rFont val="宋体"/>
        <family val="3"/>
        <charset val="134"/>
      </rPr>
      <t>建立所需要的时间）</t>
    </r>
    <phoneticPr fontId="1" type="noConversion"/>
  </si>
  <si>
    <r>
      <rPr>
        <sz val="10"/>
        <color theme="1"/>
        <rFont val="宋体"/>
        <family val="3"/>
        <charset val="134"/>
      </rPr>
      <t>可保证</t>
    </r>
    <r>
      <rPr>
        <sz val="10"/>
        <color theme="1"/>
        <rFont val="Arial"/>
        <family val="2"/>
      </rPr>
      <t>EB</t>
    </r>
    <r>
      <rPr>
        <sz val="10"/>
        <color theme="1"/>
        <rFont val="宋体"/>
        <family val="3"/>
        <charset val="134"/>
      </rPr>
      <t>制动率建立时间（制动系统从</t>
    </r>
    <r>
      <rPr>
        <sz val="10"/>
        <color theme="1"/>
        <rFont val="Arial"/>
        <family val="2"/>
      </rPr>
      <t>10%</t>
    </r>
    <r>
      <rPr>
        <sz val="10"/>
        <color theme="1"/>
        <rFont val="宋体"/>
        <family val="3"/>
        <charset val="134"/>
      </rPr>
      <t>制动力至</t>
    </r>
    <r>
      <rPr>
        <sz val="10"/>
        <color theme="1"/>
        <rFont val="Arial"/>
        <family val="2"/>
      </rPr>
      <t>90%</t>
    </r>
    <r>
      <rPr>
        <sz val="10"/>
        <color theme="1"/>
        <rFont val="宋体"/>
        <family val="3"/>
        <charset val="134"/>
      </rPr>
      <t>制动力建立所需要的时间。若牵引完全切除时</t>
    </r>
    <r>
      <rPr>
        <sz val="10"/>
        <color theme="1"/>
        <rFont val="Arial"/>
        <family val="2"/>
      </rPr>
      <t>10%</t>
    </r>
    <r>
      <rPr>
        <sz val="10"/>
        <color theme="1"/>
        <rFont val="宋体"/>
        <family val="3"/>
        <charset val="134"/>
      </rPr>
      <t>制动力已建立，则该值为牵引完全切除到</t>
    </r>
    <r>
      <rPr>
        <sz val="10"/>
        <color theme="1"/>
        <rFont val="Arial"/>
        <family val="2"/>
      </rPr>
      <t>90%</t>
    </r>
    <r>
      <rPr>
        <sz val="10"/>
        <color theme="1"/>
        <rFont val="宋体"/>
        <family val="3"/>
        <charset val="134"/>
      </rPr>
      <t>制动力建立时间）</t>
    </r>
    <phoneticPr fontId="1" type="noConversion"/>
  </si>
  <si>
    <t>Veh_MaxAcc</t>
    <phoneticPr fontId="1" type="noConversion"/>
  </si>
  <si>
    <t>65</t>
    <phoneticPr fontId="9" type="noConversion"/>
  </si>
  <si>
    <t>配置值4</t>
  </si>
  <si>
    <t>配置值5</t>
  </si>
  <si>
    <t>N/A</t>
  </si>
  <si>
    <t>CFG_T_PASS_SIGN/AL</t>
  </si>
  <si>
    <t>车辆编组影响项</t>
    <phoneticPr fontId="1" type="noConversion"/>
  </si>
  <si>
    <r>
      <rPr>
        <sz val="10"/>
        <rFont val="宋体"/>
        <family val="3"/>
        <charset val="134"/>
      </rPr>
      <t>接近区段长度</t>
    </r>
    <r>
      <rPr>
        <sz val="10"/>
        <rFont val="Arial"/>
        <family val="2"/>
      </rPr>
      <t xml:space="preserve">m
</t>
    </r>
    <r>
      <rPr>
        <i/>
        <sz val="10"/>
        <color rgb="FFFF0000"/>
        <rFont val="宋体"/>
        <family val="3"/>
        <charset val="134"/>
      </rPr>
      <t>（工程配置不得小于该值）</t>
    </r>
    <phoneticPr fontId="9" type="noConversion"/>
  </si>
  <si>
    <t>接近区段长度</t>
    <phoneticPr fontId="1" type="noConversion"/>
  </si>
  <si>
    <t>V2.1.5</t>
    <phoneticPr fontId="1" type="noConversion"/>
  </si>
  <si>
    <t>CFG_V_MAX_JUMP_DEPOT</t>
    <phoneticPr fontId="1" type="noConversion"/>
  </si>
  <si>
    <t>500</t>
    <phoneticPr fontId="9" type="noConversion"/>
  </si>
  <si>
    <t>500</t>
    <phoneticPr fontId="1" type="noConversion"/>
  </si>
  <si>
    <t>V2.2</t>
    <phoneticPr fontId="1" type="noConversion"/>
  </si>
  <si>
    <t>正式版本</t>
    <phoneticPr fontId="1" type="noConversion"/>
  </si>
  <si>
    <t>V2.2
V2.6
V1.8</t>
    <phoneticPr fontId="1" type="noConversion"/>
  </si>
  <si>
    <t>2</t>
    <phoneticPr fontId="9" type="noConversion"/>
  </si>
  <si>
    <t>V2.2.1</t>
    <phoneticPr fontId="1" type="noConversion"/>
  </si>
  <si>
    <t>CFG_L_MAX_MAL_ON_OVERLAP</t>
    <phoneticPr fontId="9" type="noConversion"/>
  </si>
  <si>
    <t>V2.3
V2.6
V1.8</t>
    <phoneticPr fontId="1" type="noConversion"/>
  </si>
  <si>
    <t>V2.3</t>
    <phoneticPr fontId="1" type="noConversion"/>
  </si>
  <si>
    <t>项目名称</t>
  </si>
  <si>
    <t>文件状态</t>
  </si>
  <si>
    <t>文件编号</t>
  </si>
  <si>
    <t>当前版本</t>
  </si>
  <si>
    <t>[√] 正式发布</t>
  </si>
  <si>
    <t>批    准</t>
  </si>
  <si>
    <t>完成日期</t>
  </si>
  <si>
    <t>文档密级</t>
  </si>
  <si>
    <t>□普通 □秘密 ■机密 □绝密</t>
  </si>
  <si>
    <t>版本号</t>
  </si>
  <si>
    <t>流程单号</t>
  </si>
  <si>
    <t>修订记录</t>
  </si>
  <si>
    <t>修订日期</t>
  </si>
  <si>
    <t>修订人</t>
  </si>
  <si>
    <t>审核人</t>
  </si>
  <si>
    <t>[] 草    稿</t>
    <phoneticPr fontId="1" type="noConversion"/>
  </si>
  <si>
    <t>BiTRACON800</t>
    <phoneticPr fontId="1" type="noConversion"/>
  </si>
  <si>
    <t>无</t>
    <phoneticPr fontId="1" type="noConversion"/>
  </si>
  <si>
    <t>DES001080</t>
    <phoneticPr fontId="1" type="noConversion"/>
  </si>
  <si>
    <t>刘毅</t>
    <phoneticPr fontId="1" type="noConversion"/>
  </si>
  <si>
    <t>张翼飞</t>
    <phoneticPr fontId="1" type="noConversion"/>
  </si>
  <si>
    <t>-</t>
    <phoneticPr fontId="1" type="noConversion"/>
  </si>
  <si>
    <t>徐娟</t>
    <phoneticPr fontId="1" type="noConversion"/>
  </si>
  <si>
    <t>[] 修 改 中</t>
    <phoneticPr fontId="1" type="noConversion"/>
  </si>
  <si>
    <t>序号</t>
    <phoneticPr fontId="1" type="noConversion"/>
  </si>
  <si>
    <t>注意事项</t>
    <phoneticPr fontId="1" type="noConversion"/>
  </si>
  <si>
    <t>V2.3.1</t>
    <phoneticPr fontId="1" type="noConversion"/>
  </si>
  <si>
    <t>01</t>
  </si>
  <si>
    <t>Szr.S0103</t>
  </si>
  <si>
    <t>Szr</t>
  </si>
  <si>
    <t>S0103</t>
  </si>
  <si>
    <t>94.1</t>
  </si>
  <si>
    <t>80</t>
  </si>
  <si>
    <t>0</t>
  </si>
  <si>
    <t>0201G</t>
  </si>
  <si>
    <t>0103G</t>
  </si>
  <si>
    <t>S0103.S0107</t>
  </si>
  <si>
    <t>S0107</t>
  </si>
  <si>
    <t>323.967</t>
  </si>
  <si>
    <t>-53.8</t>
  </si>
  <si>
    <t>VB0103</t>
  </si>
  <si>
    <t>0207G</t>
  </si>
  <si>
    <t>61.967</t>
  </si>
  <si>
    <t>0109DG</t>
  </si>
  <si>
    <t>X0105.Xr</t>
  </si>
  <si>
    <t>X0105</t>
  </si>
  <si>
    <t>Xr</t>
  </si>
  <si>
    <t>356.1</t>
  </si>
  <si>
    <t>-41</t>
  </si>
  <si>
    <t>VB0105</t>
  </si>
  <si>
    <t>100</t>
    <phoneticPr fontId="9" type="noConversion"/>
  </si>
  <si>
    <t>200</t>
    <phoneticPr fontId="9" type="noConversion"/>
  </si>
  <si>
    <t>300</t>
    <phoneticPr fontId="9" type="noConversion"/>
  </si>
  <si>
    <t>0.6</t>
    <phoneticPr fontId="1" type="noConversion"/>
  </si>
  <si>
    <t>60</t>
    <phoneticPr fontId="9" type="noConversion"/>
  </si>
  <si>
    <t>60</t>
    <phoneticPr fontId="9" type="noConversion"/>
  </si>
  <si>
    <t>N/A</t>
    <phoneticPr fontId="9" type="noConversion"/>
  </si>
  <si>
    <t>V2.3.1
V2.6
V1.8</t>
    <phoneticPr fontId="1" type="noConversion"/>
  </si>
  <si>
    <t>列车经过信标到业务收到信标报文数据的最大延迟</t>
    <phoneticPr fontId="1" type="noConversion"/>
  </si>
  <si>
    <t>V2.3.2</t>
  </si>
  <si>
    <r>
      <rPr>
        <sz val="10"/>
        <rFont val="宋体"/>
        <family val="3"/>
        <charset val="134"/>
      </rPr>
      <t>预告信标</t>
    </r>
    <r>
      <rPr>
        <sz val="10"/>
        <rFont val="Arial"/>
        <family val="2"/>
      </rPr>
      <t>/</t>
    </r>
    <r>
      <rPr>
        <sz val="10"/>
        <rFont val="宋体"/>
        <family val="3"/>
        <charset val="134"/>
      </rPr>
      <t>环线到计轴距离</t>
    </r>
    <r>
      <rPr>
        <sz val="10"/>
        <rFont val="Arial"/>
        <family val="2"/>
      </rPr>
      <t>m</t>
    </r>
    <phoneticPr fontId="9" type="noConversion"/>
  </si>
  <si>
    <r>
      <rPr>
        <sz val="10"/>
        <rFont val="宋体"/>
        <family val="3"/>
        <charset val="134"/>
      </rPr>
      <t>接近限速</t>
    </r>
    <r>
      <rPr>
        <sz val="10"/>
        <rFont val="Arial"/>
        <family val="2"/>
      </rPr>
      <t xml:space="preserve">km/h
</t>
    </r>
    <r>
      <rPr>
        <i/>
        <sz val="10"/>
        <color rgb="FFFF0000"/>
        <rFont val="宋体"/>
        <family val="3"/>
        <charset val="134"/>
      </rPr>
      <t>（见批注）</t>
    </r>
    <phoneticPr fontId="1" type="noConversion"/>
  </si>
  <si>
    <r>
      <rPr>
        <sz val="10"/>
        <rFont val="宋体"/>
        <family val="3"/>
        <charset val="134"/>
      </rPr>
      <t>进路长度</t>
    </r>
    <r>
      <rPr>
        <sz val="10"/>
        <rFont val="Arial"/>
        <family val="2"/>
      </rPr>
      <t xml:space="preserve">m
</t>
    </r>
    <r>
      <rPr>
        <i/>
        <sz val="10"/>
        <color rgb="FFFF0000"/>
        <rFont val="宋体"/>
        <family val="3"/>
        <charset val="134"/>
      </rPr>
      <t>（计轴</t>
    </r>
    <r>
      <rPr>
        <i/>
        <sz val="10"/>
        <color rgb="FFFF0000"/>
        <rFont val="Arial"/>
        <family val="2"/>
      </rPr>
      <t>-</t>
    </r>
    <r>
      <rPr>
        <i/>
        <sz val="10"/>
        <color rgb="FFFF0000"/>
        <rFont val="宋体"/>
        <family val="3"/>
        <charset val="134"/>
      </rPr>
      <t>计轴）</t>
    </r>
    <phoneticPr fontId="1" type="noConversion"/>
  </si>
  <si>
    <r>
      <rPr>
        <sz val="10"/>
        <rFont val="宋体"/>
        <family val="3"/>
        <charset val="134"/>
      </rPr>
      <t>最差接近坡度</t>
    </r>
    <r>
      <rPr>
        <sz val="10"/>
        <rFont val="Arial"/>
        <family val="2"/>
      </rPr>
      <t xml:space="preserve">‰
</t>
    </r>
    <r>
      <rPr>
        <i/>
        <sz val="10"/>
        <color rgb="FFFF0000"/>
        <rFont val="宋体"/>
        <family val="3"/>
        <charset val="134"/>
      </rPr>
      <t>（见批注）</t>
    </r>
    <phoneticPr fontId="1" type="noConversion"/>
  </si>
  <si>
    <r>
      <rPr>
        <sz val="10"/>
        <rFont val="宋体"/>
        <family val="3"/>
        <charset val="134"/>
      </rPr>
      <t>接近限速</t>
    </r>
    <r>
      <rPr>
        <sz val="10"/>
        <rFont val="Arial"/>
        <family val="2"/>
      </rPr>
      <t>km/h</t>
    </r>
    <phoneticPr fontId="1" type="noConversion"/>
  </si>
  <si>
    <r>
      <rPr>
        <sz val="10"/>
        <rFont val="宋体"/>
        <family val="3"/>
        <charset val="134"/>
      </rPr>
      <t>最差接近坡度</t>
    </r>
    <r>
      <rPr>
        <sz val="10"/>
        <rFont val="Arial"/>
        <family val="2"/>
      </rPr>
      <t>‰</t>
    </r>
    <phoneticPr fontId="1" type="noConversion"/>
  </si>
  <si>
    <r>
      <rPr>
        <sz val="10"/>
        <rFont val="宋体"/>
        <family val="3"/>
        <charset val="134"/>
      </rPr>
      <t>平均坡度起算点至信号机距离</t>
    </r>
    <r>
      <rPr>
        <sz val="10"/>
        <rFont val="Arial"/>
        <family val="2"/>
      </rPr>
      <t>m</t>
    </r>
    <r>
      <rPr>
        <i/>
        <sz val="10"/>
        <color rgb="FFFF0000"/>
        <rFont val="Arial"/>
        <family val="2"/>
      </rPr>
      <t/>
    </r>
    <phoneticPr fontId="9" type="noConversion"/>
  </si>
  <si>
    <r>
      <rPr>
        <sz val="10"/>
        <rFont val="宋体"/>
        <family val="3"/>
        <charset val="134"/>
      </rPr>
      <t>进路长度</t>
    </r>
    <r>
      <rPr>
        <sz val="10"/>
        <rFont val="Arial"/>
        <family val="2"/>
      </rPr>
      <t>m</t>
    </r>
    <r>
      <rPr>
        <i/>
        <sz val="10"/>
        <color rgb="FFFF0000"/>
        <rFont val="宋体"/>
        <family val="3"/>
        <charset val="134"/>
      </rPr>
      <t/>
    </r>
    <phoneticPr fontId="1" type="noConversion"/>
  </si>
  <si>
    <r>
      <rPr>
        <sz val="10"/>
        <rFont val="宋体"/>
        <family val="3"/>
        <charset val="134"/>
      </rPr>
      <t>接近区段安全制动距离</t>
    </r>
    <r>
      <rPr>
        <sz val="10"/>
        <rFont val="Arial"/>
        <family val="2"/>
      </rPr>
      <t>m</t>
    </r>
    <r>
      <rPr>
        <i/>
        <sz val="10"/>
        <color rgb="FFFF0000"/>
        <rFont val="Arial"/>
        <family val="2"/>
      </rPr>
      <t/>
    </r>
    <phoneticPr fontId="9" type="noConversion"/>
  </si>
  <si>
    <r>
      <t>接近信标</t>
    </r>
    <r>
      <rPr>
        <i/>
        <sz val="10"/>
        <color rgb="FFFF0000"/>
        <rFont val="宋体"/>
        <family val="3"/>
        <charset val="134"/>
      </rPr>
      <t/>
    </r>
    <phoneticPr fontId="9" type="noConversion"/>
  </si>
  <si>
    <r>
      <rPr>
        <sz val="10"/>
        <rFont val="宋体"/>
        <family val="3"/>
        <charset val="134"/>
      </rPr>
      <t>预告信标</t>
    </r>
    <r>
      <rPr>
        <sz val="10"/>
        <rFont val="Arial"/>
        <family val="2"/>
      </rPr>
      <t>/</t>
    </r>
    <r>
      <rPr>
        <sz val="10"/>
        <rFont val="宋体"/>
        <family val="3"/>
        <charset val="134"/>
      </rPr>
      <t>环线</t>
    </r>
    <r>
      <rPr>
        <i/>
        <sz val="10"/>
        <color rgb="FFFF0000"/>
        <rFont val="宋体"/>
        <family val="3"/>
        <charset val="134"/>
      </rPr>
      <t/>
    </r>
    <phoneticPr fontId="9" type="noConversion"/>
  </si>
  <si>
    <r>
      <rPr>
        <sz val="10"/>
        <rFont val="宋体"/>
        <family val="3"/>
        <charset val="134"/>
      </rPr>
      <t>泊车区段停车时间</t>
    </r>
    <r>
      <rPr>
        <sz val="10"/>
        <rFont val="Arial"/>
        <family val="2"/>
      </rPr>
      <t>s</t>
    </r>
    <r>
      <rPr>
        <i/>
        <sz val="10"/>
        <color rgb="FFFF0000"/>
        <rFont val="宋体"/>
        <family val="3"/>
        <charset val="134"/>
      </rPr>
      <t/>
    </r>
    <phoneticPr fontId="9" type="noConversion"/>
  </si>
  <si>
    <t>B0101</t>
    <phoneticPr fontId="9" type="noConversion"/>
  </si>
  <si>
    <t>700</t>
    <phoneticPr fontId="9" type="noConversion"/>
  </si>
  <si>
    <t>N/A</t>
    <phoneticPr fontId="1" type="noConversion"/>
  </si>
  <si>
    <r>
      <rPr>
        <b/>
        <sz val="10"/>
        <color theme="1"/>
        <rFont val="宋体"/>
        <family val="3"/>
        <charset val="134"/>
      </rPr>
      <t>输入文档</t>
    </r>
  </si>
  <si>
    <r>
      <rPr>
        <b/>
        <sz val="10"/>
        <color theme="1"/>
        <rFont val="宋体"/>
        <family val="3"/>
        <charset val="134"/>
      </rPr>
      <t>版本号</t>
    </r>
  </si>
  <si>
    <r>
      <t>ZHJD-YF-BiTRACON-PDS-01-1 BiTRACON</t>
    </r>
    <r>
      <rPr>
        <sz val="10"/>
        <color theme="1"/>
        <rFont val="宋体"/>
        <family val="3"/>
        <charset val="134"/>
      </rPr>
      <t>系统关键参数计算</t>
    </r>
    <phoneticPr fontId="1" type="noConversion"/>
  </si>
  <si>
    <r>
      <t>1.</t>
    </r>
    <r>
      <rPr>
        <sz val="10"/>
        <color theme="1"/>
        <rFont val="宋体"/>
        <family val="3"/>
        <charset val="134"/>
      </rPr>
      <t>增加输入参数</t>
    </r>
    <r>
      <rPr>
        <sz val="10"/>
        <color theme="1"/>
        <rFont val="Arial"/>
        <family val="2"/>
      </rPr>
      <t>“Proj_MaxDwellTime”</t>
    </r>
    <r>
      <rPr>
        <sz val="10"/>
        <color theme="1"/>
        <rFont val="宋体"/>
        <family val="3"/>
        <charset val="134"/>
      </rPr>
      <t xml:space="preserve">；
</t>
    </r>
    <r>
      <rPr>
        <sz val="10"/>
        <color theme="1"/>
        <rFont val="Arial"/>
        <family val="2"/>
      </rPr>
      <t>2.</t>
    </r>
    <r>
      <rPr>
        <sz val="10"/>
        <color theme="1"/>
        <rFont val="宋体"/>
        <family val="3"/>
        <charset val="134"/>
      </rPr>
      <t>根据输入文档修改参数</t>
    </r>
    <r>
      <rPr>
        <sz val="10"/>
        <color theme="1"/>
        <rFont val="Arial"/>
        <family val="2"/>
      </rPr>
      <t>“CFG_D_MAX_MAL”</t>
    </r>
    <r>
      <rPr>
        <sz val="10"/>
        <color theme="1"/>
        <rFont val="宋体"/>
        <family val="3"/>
        <charset val="134"/>
      </rPr>
      <t>和</t>
    </r>
    <r>
      <rPr>
        <sz val="10"/>
        <color theme="1"/>
        <rFont val="Arial"/>
        <family val="2"/>
      </rPr>
      <t>“CFG_T_MAX_IATPMAL_ALIVE”</t>
    </r>
    <r>
      <rPr>
        <sz val="10"/>
        <color theme="1"/>
        <rFont val="宋体"/>
        <family val="3"/>
        <charset val="134"/>
      </rPr>
      <t xml:space="preserve">计算公式；
</t>
    </r>
    <r>
      <rPr>
        <sz val="10"/>
        <color theme="1"/>
        <rFont val="Arial"/>
        <family val="2"/>
      </rPr>
      <t>3.</t>
    </r>
    <r>
      <rPr>
        <sz val="10"/>
        <color theme="1"/>
        <rFont val="宋体"/>
        <family val="3"/>
        <charset val="134"/>
      </rPr>
      <t>修改进路参数“接近区段长度</t>
    </r>
    <r>
      <rPr>
        <sz val="10"/>
        <color theme="1"/>
        <rFont val="Arial"/>
        <family val="2"/>
      </rPr>
      <t>m“</t>
    </r>
    <r>
      <rPr>
        <sz val="10"/>
        <color theme="1"/>
        <rFont val="宋体"/>
        <family val="3"/>
        <charset val="134"/>
      </rPr>
      <t>和</t>
    </r>
    <r>
      <rPr>
        <sz val="10"/>
        <color theme="1"/>
        <rFont val="Arial"/>
        <family val="2"/>
      </rPr>
      <t>“</t>
    </r>
    <r>
      <rPr>
        <sz val="10"/>
        <color theme="1"/>
        <rFont val="宋体"/>
        <family val="3"/>
        <charset val="134"/>
      </rPr>
      <t>保护区段泊车区段预取消时间</t>
    </r>
    <r>
      <rPr>
        <sz val="10"/>
        <color theme="1"/>
        <rFont val="Arial"/>
        <family val="2"/>
      </rPr>
      <t>s”</t>
    </r>
    <r>
      <rPr>
        <sz val="10"/>
        <color theme="1"/>
        <rFont val="宋体"/>
        <family val="3"/>
        <charset val="134"/>
      </rPr>
      <t>计算公式；</t>
    </r>
    <phoneticPr fontId="1" type="noConversion"/>
  </si>
  <si>
    <r>
      <t>ZHKJ-YF-BiTRACON800-PDS-01-1 BiTRACON800</t>
    </r>
    <r>
      <rPr>
        <sz val="10"/>
        <color theme="1"/>
        <rFont val="宋体"/>
        <family val="3"/>
        <charset val="134"/>
      </rPr>
      <t>系统关键参数计算</t>
    </r>
    <phoneticPr fontId="1" type="noConversion"/>
  </si>
  <si>
    <r>
      <t xml:space="preserve">1. </t>
    </r>
    <r>
      <rPr>
        <sz val="10"/>
        <color theme="1"/>
        <rFont val="宋体"/>
        <family val="3"/>
        <charset val="134"/>
      </rPr>
      <t xml:space="preserve">删除参数中的预留量；
</t>
    </r>
    <r>
      <rPr>
        <sz val="10"/>
        <color theme="1"/>
        <rFont val="Arial"/>
        <family val="2"/>
      </rPr>
      <t xml:space="preserve">2. </t>
    </r>
    <r>
      <rPr>
        <sz val="10"/>
        <color theme="1"/>
        <rFont val="宋体"/>
        <family val="3"/>
        <charset val="134"/>
      </rPr>
      <t>删除参数</t>
    </r>
    <r>
      <rPr>
        <sz val="10"/>
        <color theme="1"/>
        <rFont val="Arial"/>
        <family val="2"/>
      </rPr>
      <t>“CFG_D_MAX_MAL”</t>
    </r>
    <r>
      <rPr>
        <sz val="10"/>
        <color theme="1"/>
        <rFont val="宋体"/>
        <family val="3"/>
        <charset val="134"/>
      </rPr>
      <t xml:space="preserve">，不在系统层定义该参数；
</t>
    </r>
    <r>
      <rPr>
        <sz val="10"/>
        <color theme="1"/>
        <rFont val="Arial"/>
        <family val="2"/>
      </rPr>
      <t xml:space="preserve">3. </t>
    </r>
    <r>
      <rPr>
        <sz val="10"/>
        <color theme="1"/>
        <rFont val="宋体"/>
        <family val="3"/>
        <charset val="134"/>
      </rPr>
      <t>根据输入文档修改参数合并参数</t>
    </r>
    <r>
      <rPr>
        <sz val="10"/>
        <color theme="1"/>
        <rFont val="Arial"/>
        <family val="2"/>
      </rPr>
      <t>CFG_T_LCROUTE_RELEASE_IATP</t>
    </r>
    <r>
      <rPr>
        <sz val="10"/>
        <color theme="1"/>
        <rFont val="宋体"/>
        <family val="3"/>
        <charset val="134"/>
      </rPr>
      <t>和</t>
    </r>
    <r>
      <rPr>
        <sz val="10"/>
        <color theme="1"/>
        <rFont val="Arial"/>
        <family val="2"/>
      </rPr>
      <t>CFG_T_LCROUTE_RELEASE_CBTC</t>
    </r>
    <r>
      <rPr>
        <sz val="10"/>
        <color theme="1"/>
        <rFont val="宋体"/>
        <family val="3"/>
        <charset val="134"/>
      </rPr>
      <t>为</t>
    </r>
    <r>
      <rPr>
        <sz val="10"/>
        <color theme="1"/>
        <rFont val="Arial"/>
        <family val="2"/>
      </rPr>
      <t>CFG_T_LCROUTE_RELEASE</t>
    </r>
    <r>
      <rPr>
        <sz val="10"/>
        <color theme="1"/>
        <rFont val="宋体"/>
        <family val="3"/>
        <charset val="134"/>
      </rPr>
      <t xml:space="preserve">；
</t>
    </r>
    <r>
      <rPr>
        <sz val="10"/>
        <color theme="1"/>
        <rFont val="Arial"/>
        <family val="2"/>
      </rPr>
      <t xml:space="preserve">4. </t>
    </r>
    <r>
      <rPr>
        <sz val="10"/>
        <color theme="1"/>
        <rFont val="宋体"/>
        <family val="3"/>
        <charset val="134"/>
      </rPr>
      <t>根据</t>
    </r>
    <r>
      <rPr>
        <sz val="10"/>
        <color theme="1"/>
        <rFont val="Arial"/>
        <family val="2"/>
      </rPr>
      <t>BiTRACON800</t>
    </r>
    <r>
      <rPr>
        <sz val="10"/>
        <color theme="1"/>
        <rFont val="宋体"/>
        <family val="3"/>
        <charset val="134"/>
      </rPr>
      <t>系统</t>
    </r>
    <r>
      <rPr>
        <sz val="10"/>
        <color theme="1"/>
        <rFont val="Arial"/>
        <family val="2"/>
      </rPr>
      <t>SHA</t>
    </r>
    <r>
      <rPr>
        <sz val="10"/>
        <color theme="1"/>
        <rFont val="宋体"/>
        <family val="3"/>
        <charset val="134"/>
      </rPr>
      <t>需求增加参数</t>
    </r>
    <r>
      <rPr>
        <sz val="10"/>
        <color theme="1"/>
        <rFont val="Arial"/>
        <family val="2"/>
      </rPr>
      <t>“CFG_V_MAX_JUMP”</t>
    </r>
    <r>
      <rPr>
        <sz val="10"/>
        <color theme="1"/>
        <rFont val="宋体"/>
        <family val="3"/>
        <charset val="134"/>
      </rPr>
      <t>、</t>
    </r>
    <r>
      <rPr>
        <sz val="10"/>
        <color theme="1"/>
        <rFont val="Arial"/>
        <family val="2"/>
      </rPr>
      <t>“CFG_D_MAX_JUMP”</t>
    </r>
    <r>
      <rPr>
        <sz val="10"/>
        <color theme="1"/>
        <rFont val="宋体"/>
        <family val="3"/>
        <charset val="134"/>
      </rPr>
      <t>和</t>
    </r>
    <r>
      <rPr>
        <sz val="10"/>
        <color theme="1"/>
        <rFont val="Arial"/>
        <family val="2"/>
      </rPr>
      <t>“CFG_V_ATPOPEN_SPD”</t>
    </r>
    <r>
      <rPr>
        <sz val="10"/>
        <color theme="1"/>
        <rFont val="宋体"/>
        <family val="3"/>
        <charset val="134"/>
      </rPr>
      <t xml:space="preserve">；
</t>
    </r>
    <r>
      <rPr>
        <sz val="10"/>
        <color theme="1"/>
        <rFont val="Arial"/>
        <family val="2"/>
      </rPr>
      <t xml:space="preserve">5. </t>
    </r>
    <r>
      <rPr>
        <sz val="10"/>
        <color theme="1"/>
        <rFont val="宋体"/>
        <family val="3"/>
        <charset val="134"/>
      </rPr>
      <t>增加参数</t>
    </r>
    <r>
      <rPr>
        <sz val="10"/>
        <color theme="1"/>
        <rFont val="Arial"/>
        <family val="2"/>
      </rPr>
      <t>“CFG_ERR_STATION_BERTH”</t>
    </r>
    <r>
      <rPr>
        <sz val="10"/>
        <color theme="1"/>
        <rFont val="宋体"/>
        <family val="3"/>
        <charset val="134"/>
      </rPr>
      <t xml:space="preserve">，供布置规则参考。
</t>
    </r>
    <r>
      <rPr>
        <sz val="10"/>
        <color theme="1"/>
        <rFont val="Arial"/>
        <family val="2"/>
      </rPr>
      <t>6.</t>
    </r>
    <r>
      <rPr>
        <sz val="10"/>
        <color theme="1"/>
        <rFont val="宋体"/>
        <family val="3"/>
        <charset val="134"/>
      </rPr>
      <t>增加输入参数</t>
    </r>
    <r>
      <rPr>
        <sz val="10"/>
        <color theme="1"/>
        <rFont val="Arial"/>
        <family val="2"/>
      </rPr>
      <t>Veh_CollisionSpd</t>
    </r>
    <r>
      <rPr>
        <sz val="10"/>
        <color theme="1"/>
        <rFont val="宋体"/>
        <family val="3"/>
        <charset val="134"/>
      </rPr>
      <t>、</t>
    </r>
    <r>
      <rPr>
        <sz val="10"/>
        <color theme="1"/>
        <rFont val="Arial"/>
        <family val="2"/>
      </rPr>
      <t>Equ_CollisionSpd</t>
    </r>
    <r>
      <rPr>
        <sz val="10"/>
        <color theme="1"/>
        <rFont val="宋体"/>
        <family val="3"/>
        <charset val="134"/>
      </rPr>
      <t>、</t>
    </r>
    <r>
      <rPr>
        <sz val="10"/>
        <color theme="1"/>
        <rFont val="Arial"/>
        <family val="2"/>
      </rPr>
      <t>Proj_MaxApprBcnDist</t>
    </r>
    <r>
      <rPr>
        <sz val="10"/>
        <color theme="1"/>
        <rFont val="宋体"/>
        <family val="3"/>
        <charset val="134"/>
      </rPr>
      <t>、</t>
    </r>
    <r>
      <rPr>
        <sz val="10"/>
        <color theme="1"/>
        <rFont val="Arial"/>
        <family val="2"/>
      </rPr>
      <t>Proj_MinSp2SigJumpDist</t>
    </r>
    <r>
      <rPr>
        <sz val="10"/>
        <color theme="1"/>
        <rFont val="宋体"/>
        <family val="3"/>
        <charset val="134"/>
      </rPr>
      <t>、</t>
    </r>
    <r>
      <rPr>
        <sz val="10"/>
        <color theme="1"/>
        <rFont val="Arial"/>
        <family val="2"/>
      </rPr>
      <t>Proj_MinSp2EndJumpDist</t>
    </r>
    <r>
      <rPr>
        <sz val="10"/>
        <color theme="1"/>
        <rFont val="宋体"/>
        <family val="3"/>
        <charset val="134"/>
      </rPr>
      <t>、</t>
    </r>
    <r>
      <rPr>
        <sz val="10"/>
        <color theme="1"/>
        <rFont val="Arial"/>
        <family val="2"/>
      </rPr>
      <t>Proj_MinSp2EndOpenDist</t>
    </r>
    <r>
      <rPr>
        <sz val="10"/>
        <color theme="1"/>
        <rFont val="宋体"/>
        <family val="3"/>
        <charset val="134"/>
      </rPr>
      <t>和</t>
    </r>
    <r>
      <rPr>
        <sz val="10"/>
        <color theme="1"/>
        <rFont val="Arial"/>
        <family val="2"/>
      </rPr>
      <t>Conf_DoorGap</t>
    </r>
    <r>
      <rPr>
        <sz val="10"/>
        <color theme="1"/>
        <rFont val="宋体"/>
        <family val="3"/>
        <charset val="134"/>
      </rPr>
      <t>；</t>
    </r>
    <phoneticPr fontId="1" type="noConversion"/>
  </si>
  <si>
    <r>
      <t>1.</t>
    </r>
    <r>
      <rPr>
        <sz val="10"/>
        <color theme="1"/>
        <rFont val="宋体"/>
        <family val="3"/>
        <charset val="134"/>
      </rPr>
      <t>参数</t>
    </r>
    <r>
      <rPr>
        <sz val="10"/>
        <color theme="1"/>
        <rFont val="Arial"/>
        <family val="2"/>
      </rPr>
      <t>CFG_T_ROUTE_VALID</t>
    </r>
    <r>
      <rPr>
        <sz val="10"/>
        <color theme="1"/>
        <rFont val="宋体"/>
        <family val="3"/>
        <charset val="134"/>
      </rPr>
      <t>更名为</t>
    </r>
    <r>
      <rPr>
        <sz val="10"/>
        <color theme="1"/>
        <rFont val="Arial"/>
        <family val="2"/>
      </rPr>
      <t>CFG_T_ROUTE_VALID_DMC</t>
    </r>
    <r>
      <rPr>
        <sz val="10"/>
        <color theme="1"/>
        <rFont val="宋体"/>
        <family val="3"/>
        <charset val="134"/>
      </rPr>
      <t xml:space="preserve">；
</t>
    </r>
    <r>
      <rPr>
        <sz val="10"/>
        <color theme="1"/>
        <rFont val="Arial"/>
        <family val="2"/>
      </rPr>
      <t>2.CFG_T_LCROUTE_RELEASE</t>
    </r>
    <r>
      <rPr>
        <sz val="10"/>
        <color theme="1"/>
        <rFont val="宋体"/>
        <family val="3"/>
        <charset val="134"/>
      </rPr>
      <t>更名为</t>
    </r>
    <r>
      <rPr>
        <sz val="10"/>
        <color theme="1"/>
        <rFont val="Arial"/>
        <family val="2"/>
      </rPr>
      <t>CFG_T_LCROUTE_RELEASE_DMC</t>
    </r>
    <r>
      <rPr>
        <sz val="10"/>
        <color theme="1"/>
        <rFont val="宋体"/>
        <family val="3"/>
        <charset val="134"/>
      </rPr>
      <t xml:space="preserve">
</t>
    </r>
    <r>
      <rPr>
        <sz val="10"/>
        <color theme="1"/>
        <rFont val="Arial"/>
        <family val="2"/>
      </rPr>
      <t>2.</t>
    </r>
    <r>
      <rPr>
        <sz val="10"/>
        <color theme="1"/>
        <rFont val="宋体"/>
        <family val="3"/>
        <charset val="134"/>
      </rPr>
      <t>增加参数</t>
    </r>
    <r>
      <rPr>
        <sz val="10"/>
        <color theme="1"/>
        <rFont val="Arial"/>
        <family val="2"/>
      </rPr>
      <t>CFG_T_LCROUTE_RELEASE_IMC</t>
    </r>
    <r>
      <rPr>
        <sz val="10"/>
        <color theme="1"/>
        <rFont val="宋体"/>
        <family val="3"/>
        <charset val="134"/>
      </rPr>
      <t>、</t>
    </r>
    <r>
      <rPr>
        <sz val="10"/>
        <color theme="1"/>
        <rFont val="Arial"/>
        <family val="2"/>
      </rPr>
      <t>CFG_T_ROUTE_VALID_IMC</t>
    </r>
    <r>
      <rPr>
        <sz val="10"/>
        <color theme="1"/>
        <rFont val="宋体"/>
        <family val="3"/>
        <charset val="134"/>
      </rPr>
      <t>、</t>
    </r>
    <r>
      <rPr>
        <sz val="10"/>
        <color theme="1"/>
        <rFont val="Arial"/>
        <family val="2"/>
      </rPr>
      <t>CFG_T_SPKS_ACTIVE</t>
    </r>
    <r>
      <rPr>
        <sz val="10"/>
        <color theme="1"/>
        <rFont val="宋体"/>
        <family val="3"/>
        <charset val="134"/>
      </rPr>
      <t xml:space="preserve">；
</t>
    </r>
    <r>
      <rPr>
        <sz val="10"/>
        <color theme="1"/>
        <rFont val="Arial"/>
        <family val="2"/>
      </rPr>
      <t>3.</t>
    </r>
    <r>
      <rPr>
        <sz val="10"/>
        <color theme="1"/>
        <rFont val="宋体"/>
        <family val="3"/>
        <charset val="134"/>
      </rPr>
      <t>更新参数</t>
    </r>
    <r>
      <rPr>
        <sz val="10"/>
        <color theme="1"/>
        <rFont val="Arial"/>
        <family val="2"/>
      </rPr>
      <t>CFG_D_SEC_APPROACH</t>
    </r>
    <r>
      <rPr>
        <sz val="10"/>
        <color theme="1"/>
        <rFont val="宋体"/>
        <family val="3"/>
        <charset val="134"/>
      </rPr>
      <t>计算公式；</t>
    </r>
    <phoneticPr fontId="1" type="noConversion"/>
  </si>
  <si>
    <r>
      <t>1.</t>
    </r>
    <r>
      <rPr>
        <sz val="10"/>
        <color theme="1"/>
        <rFont val="宋体"/>
        <family val="3"/>
        <charset val="134"/>
      </rPr>
      <t>新增参数</t>
    </r>
    <r>
      <rPr>
        <sz val="10"/>
        <color theme="1"/>
        <rFont val="Arial"/>
        <family val="2"/>
      </rPr>
      <t>CFG_T_CC_ALIVE_TO_ATS</t>
    </r>
    <r>
      <rPr>
        <sz val="10"/>
        <color theme="1"/>
        <rFont val="宋体"/>
        <family val="3"/>
        <charset val="134"/>
      </rPr>
      <t>、</t>
    </r>
    <r>
      <rPr>
        <sz val="10"/>
        <color theme="1"/>
        <rFont val="Arial"/>
        <family val="2"/>
      </rPr>
      <t>CFG_T_ATS_ALIVE_TO_CC</t>
    </r>
    <r>
      <rPr>
        <sz val="10"/>
        <color theme="1"/>
        <rFont val="宋体"/>
        <family val="3"/>
        <charset val="134"/>
      </rPr>
      <t>、</t>
    </r>
    <r>
      <rPr>
        <sz val="10"/>
        <color theme="1"/>
        <rFont val="Arial"/>
        <family val="2"/>
      </rPr>
      <t>CFG_T_ZC_ALIVE_TO_ATS</t>
    </r>
    <r>
      <rPr>
        <sz val="10"/>
        <color theme="1"/>
        <rFont val="宋体"/>
        <family val="3"/>
        <charset val="134"/>
      </rPr>
      <t>、</t>
    </r>
    <r>
      <rPr>
        <sz val="10"/>
        <color theme="1"/>
        <rFont val="Arial"/>
        <family val="2"/>
      </rPr>
      <t>CFG_T_ATS_ALIVE_TO_ZC</t>
    </r>
    <r>
      <rPr>
        <sz val="10"/>
        <color theme="1"/>
        <rFont val="宋体"/>
        <family val="3"/>
        <charset val="134"/>
      </rPr>
      <t>、</t>
    </r>
    <r>
      <rPr>
        <sz val="10"/>
        <color theme="1"/>
        <rFont val="Arial"/>
        <family val="2"/>
      </rPr>
      <t>CFG_T_CBI_ALIVE_TO_ATS</t>
    </r>
    <r>
      <rPr>
        <sz val="10"/>
        <color theme="1"/>
        <rFont val="宋体"/>
        <family val="3"/>
        <charset val="134"/>
      </rPr>
      <t xml:space="preserve">；
</t>
    </r>
    <r>
      <rPr>
        <sz val="10"/>
        <color theme="1"/>
        <rFont val="Arial"/>
        <family val="2"/>
      </rPr>
      <t>2.</t>
    </r>
    <r>
      <rPr>
        <sz val="10"/>
        <color theme="1"/>
        <rFont val="宋体"/>
        <family val="3"/>
        <charset val="134"/>
      </rPr>
      <t>删除参数</t>
    </r>
    <r>
      <rPr>
        <sz val="10"/>
        <color theme="1"/>
        <rFont val="Arial"/>
        <family val="2"/>
      </rPr>
      <t>CFG_T_MAX_SLIDE</t>
    </r>
    <r>
      <rPr>
        <sz val="10"/>
        <color theme="1"/>
        <rFont val="宋体"/>
        <family val="3"/>
        <charset val="134"/>
      </rPr>
      <t>，放在</t>
    </r>
    <r>
      <rPr>
        <sz val="10"/>
        <color theme="1"/>
        <rFont val="Arial"/>
        <family val="2"/>
      </rPr>
      <t>CC</t>
    </r>
    <r>
      <rPr>
        <sz val="10"/>
        <color theme="1"/>
        <rFont val="宋体"/>
        <family val="3"/>
        <charset val="134"/>
      </rPr>
      <t xml:space="preserve">子系统参数计算；
</t>
    </r>
    <r>
      <rPr>
        <sz val="10"/>
        <color theme="1"/>
        <rFont val="Arial"/>
        <family val="2"/>
      </rPr>
      <t>3.</t>
    </r>
    <r>
      <rPr>
        <sz val="10"/>
        <color theme="1"/>
        <rFont val="宋体"/>
        <family val="3"/>
        <charset val="134"/>
      </rPr>
      <t>更新参数</t>
    </r>
    <r>
      <rPr>
        <sz val="10"/>
        <color theme="1"/>
        <rFont val="Arial"/>
        <family val="2"/>
      </rPr>
      <t>CFG_D_SEC_APPROACH</t>
    </r>
    <r>
      <rPr>
        <sz val="10"/>
        <color theme="1"/>
        <rFont val="宋体"/>
        <family val="3"/>
        <charset val="134"/>
      </rPr>
      <t xml:space="preserve">计算公式；
</t>
    </r>
    <r>
      <rPr>
        <sz val="10"/>
        <color theme="1"/>
        <rFont val="Arial"/>
        <family val="2"/>
      </rPr>
      <t>4.</t>
    </r>
    <r>
      <rPr>
        <sz val="10"/>
        <color theme="1"/>
        <rFont val="宋体"/>
        <family val="3"/>
        <charset val="134"/>
      </rPr>
      <t>修改参数</t>
    </r>
    <r>
      <rPr>
        <sz val="10"/>
        <color theme="1"/>
        <rFont val="Arial"/>
        <family val="2"/>
      </rPr>
      <t>CFG_ERR_WDIAM_CFG</t>
    </r>
    <r>
      <rPr>
        <sz val="10"/>
        <color theme="1"/>
        <rFont val="宋体"/>
        <family val="3"/>
        <charset val="134"/>
      </rPr>
      <t xml:space="preserve">计算公式；
</t>
    </r>
    <r>
      <rPr>
        <sz val="10"/>
        <color theme="1"/>
        <rFont val="Arial"/>
        <family val="2"/>
      </rPr>
      <t>5.</t>
    </r>
    <r>
      <rPr>
        <sz val="10"/>
        <color theme="1"/>
        <rFont val="宋体"/>
        <family val="3"/>
        <charset val="134"/>
      </rPr>
      <t>修改参数</t>
    </r>
    <r>
      <rPr>
        <sz val="10"/>
        <color theme="1"/>
        <rFont val="Arial"/>
        <family val="2"/>
      </rPr>
      <t>CFG_T_ZCMAL_ALIVE</t>
    </r>
    <r>
      <rPr>
        <sz val="10"/>
        <color theme="1"/>
        <rFont val="宋体"/>
        <family val="3"/>
        <charset val="134"/>
      </rPr>
      <t>为</t>
    </r>
    <r>
      <rPr>
        <sz val="10"/>
        <color theme="1"/>
        <rFont val="Arial"/>
        <family val="2"/>
      </rPr>
      <t>CFG_T_ZC_ALIVE_TO_CC</t>
    </r>
    <r>
      <rPr>
        <sz val="10"/>
        <color theme="1"/>
        <rFont val="宋体"/>
        <family val="3"/>
        <charset val="134"/>
      </rPr>
      <t xml:space="preserve">；
</t>
    </r>
    <r>
      <rPr>
        <sz val="10"/>
        <rFont val="Arial"/>
        <family val="2"/>
      </rPr>
      <t/>
    </r>
    <phoneticPr fontId="1" type="noConversion"/>
  </si>
  <si>
    <r>
      <rPr>
        <sz val="10"/>
        <color theme="1"/>
        <rFont val="宋体"/>
        <family val="3"/>
        <charset val="134"/>
      </rPr>
      <t xml:space="preserve">根据验证问题修改：
</t>
    </r>
    <r>
      <rPr>
        <sz val="10"/>
        <color theme="1"/>
        <rFont val="Arial"/>
        <family val="2"/>
      </rPr>
      <t>1.</t>
    </r>
    <r>
      <rPr>
        <sz val="10"/>
        <color theme="1"/>
        <rFont val="宋体"/>
        <family val="3"/>
        <charset val="134"/>
      </rPr>
      <t>修改参数</t>
    </r>
    <r>
      <rPr>
        <sz val="10"/>
        <color theme="1"/>
        <rFont val="Arial"/>
        <family val="2"/>
      </rPr>
      <t>CFG_V_ATPOPEN_SPD</t>
    </r>
    <r>
      <rPr>
        <sz val="10"/>
        <color theme="1"/>
        <rFont val="宋体"/>
        <family val="3"/>
        <charset val="134"/>
      </rPr>
      <t xml:space="preserve">计算公式；
</t>
    </r>
    <r>
      <rPr>
        <sz val="10"/>
        <color theme="1"/>
        <rFont val="Arial"/>
        <family val="2"/>
      </rPr>
      <t>2.</t>
    </r>
    <r>
      <rPr>
        <sz val="10"/>
        <color theme="1"/>
        <rFont val="宋体"/>
        <family val="3"/>
        <charset val="134"/>
      </rPr>
      <t>修改参数</t>
    </r>
    <r>
      <rPr>
        <sz val="10"/>
        <color theme="1"/>
        <rFont val="Arial"/>
        <family val="2"/>
      </rPr>
      <t>CFG_T_MAX_BCN_DELAY</t>
    </r>
    <r>
      <rPr>
        <sz val="10"/>
        <color theme="1"/>
        <rFont val="宋体"/>
        <family val="3"/>
        <charset val="134"/>
      </rPr>
      <t xml:space="preserve">计算公式；
</t>
    </r>
    <r>
      <rPr>
        <sz val="10"/>
        <color theme="1"/>
        <rFont val="Arial"/>
        <family val="2"/>
      </rPr>
      <t>3.</t>
    </r>
    <r>
      <rPr>
        <sz val="10"/>
        <color theme="1"/>
        <rFont val="宋体"/>
        <family val="3"/>
        <charset val="134"/>
      </rPr>
      <t xml:space="preserve">删除联锁相关参数中时间与距离余量；
</t>
    </r>
    <r>
      <rPr>
        <sz val="10"/>
        <color theme="1"/>
        <rFont val="Arial"/>
        <family val="2"/>
      </rPr>
      <t>4.</t>
    </r>
    <r>
      <rPr>
        <sz val="10"/>
        <color theme="1"/>
        <rFont val="宋体"/>
        <family val="3"/>
        <charset val="134"/>
      </rPr>
      <t>修改参数</t>
    </r>
    <r>
      <rPr>
        <sz val="10"/>
        <color theme="1"/>
        <rFont val="Arial"/>
        <family val="2"/>
      </rPr>
      <t>CFG_T_CC_ALIVE_TO_ATS</t>
    </r>
    <r>
      <rPr>
        <sz val="10"/>
        <color theme="1"/>
        <rFont val="宋体"/>
        <family val="3"/>
        <charset val="134"/>
      </rPr>
      <t>、</t>
    </r>
    <r>
      <rPr>
        <sz val="10"/>
        <color theme="1"/>
        <rFont val="Arial"/>
        <family val="2"/>
      </rPr>
      <t>CFG_T_ATS_ALIVE_TO_CC</t>
    </r>
    <r>
      <rPr>
        <sz val="10"/>
        <color theme="1"/>
        <rFont val="宋体"/>
        <family val="3"/>
        <charset val="134"/>
      </rPr>
      <t>、</t>
    </r>
    <r>
      <rPr>
        <sz val="10"/>
        <color theme="1"/>
        <rFont val="Arial"/>
        <family val="2"/>
      </rPr>
      <t>CFG_T_ZC_ALIVE_TO_ATS</t>
    </r>
    <r>
      <rPr>
        <sz val="10"/>
        <color theme="1"/>
        <rFont val="宋体"/>
        <family val="3"/>
        <charset val="134"/>
      </rPr>
      <t>、</t>
    </r>
    <r>
      <rPr>
        <sz val="10"/>
        <color theme="1"/>
        <rFont val="Arial"/>
        <family val="2"/>
      </rPr>
      <t>CFG_T_ATS_ALIVE_TO_ZC</t>
    </r>
    <r>
      <rPr>
        <sz val="10"/>
        <color theme="1"/>
        <rFont val="宋体"/>
        <family val="3"/>
        <charset val="134"/>
      </rPr>
      <t>、</t>
    </r>
    <r>
      <rPr>
        <sz val="10"/>
        <color theme="1"/>
        <rFont val="Arial"/>
        <family val="2"/>
      </rPr>
      <t>CFG_T_CBI_ALIVE_TO_ATS</t>
    </r>
    <r>
      <rPr>
        <sz val="10"/>
        <color theme="1"/>
        <rFont val="宋体"/>
        <family val="3"/>
        <charset val="134"/>
      </rPr>
      <t>中</t>
    </r>
    <r>
      <rPr>
        <sz val="10"/>
        <color theme="1"/>
        <rFont val="Arial"/>
        <family val="2"/>
      </rPr>
      <t>ATS</t>
    </r>
    <r>
      <rPr>
        <sz val="10"/>
        <color theme="1"/>
        <rFont val="宋体"/>
        <family val="3"/>
        <charset val="134"/>
      </rPr>
      <t>接收</t>
    </r>
    <r>
      <rPr>
        <sz val="10"/>
        <color theme="1"/>
        <rFont val="Arial"/>
        <family val="2"/>
      </rPr>
      <t>/</t>
    </r>
    <r>
      <rPr>
        <sz val="10"/>
        <color theme="1"/>
        <rFont val="宋体"/>
        <family val="3"/>
        <charset val="134"/>
      </rPr>
      <t>发送报文延时及主备切换延时为一个</t>
    </r>
    <r>
      <rPr>
        <sz val="10"/>
        <color theme="1"/>
        <rFont val="Arial"/>
        <family val="2"/>
      </rPr>
      <t>ATS</t>
    </r>
    <r>
      <rPr>
        <sz val="10"/>
        <color theme="1"/>
        <rFont val="宋体"/>
        <family val="3"/>
        <charset val="134"/>
      </rPr>
      <t xml:space="preserve">周期；
</t>
    </r>
    <r>
      <rPr>
        <sz val="10"/>
        <color theme="1"/>
        <rFont val="Arial"/>
        <family val="2"/>
      </rPr>
      <t>5.</t>
    </r>
    <r>
      <rPr>
        <sz val="10"/>
        <color theme="1"/>
        <rFont val="宋体"/>
        <family val="3"/>
        <charset val="134"/>
      </rPr>
      <t>更正参数</t>
    </r>
    <r>
      <rPr>
        <sz val="10"/>
        <color theme="1"/>
        <rFont val="Arial"/>
        <family val="2"/>
      </rPr>
      <t>CFG_V_MAX_JUMP</t>
    </r>
    <r>
      <rPr>
        <sz val="10"/>
        <color theme="1"/>
        <rFont val="宋体"/>
        <family val="3"/>
        <charset val="134"/>
      </rPr>
      <t xml:space="preserve">中边界限速输入参数的引用；
</t>
    </r>
    <r>
      <rPr>
        <sz val="10"/>
        <color theme="1"/>
        <rFont val="Arial"/>
        <family val="2"/>
      </rPr>
      <t>6.</t>
    </r>
    <r>
      <rPr>
        <sz val="10"/>
        <color theme="1"/>
        <rFont val="宋体"/>
        <family val="3"/>
        <charset val="134"/>
      </rPr>
      <t>修改参数</t>
    </r>
    <r>
      <rPr>
        <sz val="10"/>
        <color theme="1"/>
        <rFont val="Arial"/>
        <family val="2"/>
      </rPr>
      <t>CFG_L_MIN_MAL_ON_OVERLAP</t>
    </r>
    <r>
      <rPr>
        <sz val="10"/>
        <color theme="1"/>
        <rFont val="宋体"/>
        <family val="3"/>
        <charset val="134"/>
      </rPr>
      <t xml:space="preserve">计算公式；
</t>
    </r>
    <r>
      <rPr>
        <sz val="10"/>
        <color theme="1"/>
        <rFont val="Arial"/>
        <family val="2"/>
      </rPr>
      <t>7.</t>
    </r>
    <r>
      <rPr>
        <sz val="10"/>
        <color theme="1"/>
        <rFont val="宋体"/>
        <family val="3"/>
        <charset val="134"/>
      </rPr>
      <t>系统进路参数表中“联锁进路总人解延迟时间</t>
    </r>
    <r>
      <rPr>
        <sz val="10"/>
        <color theme="1"/>
        <rFont val="Arial"/>
        <family val="2"/>
      </rPr>
      <t>s</t>
    </r>
    <r>
      <rPr>
        <sz val="10"/>
        <color theme="1"/>
        <rFont val="宋体"/>
        <family val="3"/>
        <charset val="134"/>
      </rPr>
      <t>（</t>
    </r>
    <r>
      <rPr>
        <sz val="10"/>
        <color theme="1"/>
        <rFont val="Arial"/>
        <family val="2"/>
      </rPr>
      <t>IMC)</t>
    </r>
    <r>
      <rPr>
        <sz val="10"/>
        <color theme="1"/>
        <rFont val="宋体"/>
        <family val="3"/>
        <charset val="134"/>
      </rPr>
      <t>”参数在非信标点式情况下与参数“联锁进路总人解延迟时间</t>
    </r>
    <r>
      <rPr>
        <sz val="10"/>
        <color theme="1"/>
        <rFont val="Arial"/>
        <family val="2"/>
      </rPr>
      <t>s</t>
    </r>
    <r>
      <rPr>
        <sz val="10"/>
        <color theme="1"/>
        <rFont val="宋体"/>
        <family val="3"/>
        <charset val="134"/>
      </rPr>
      <t>（</t>
    </r>
    <r>
      <rPr>
        <sz val="10"/>
        <color theme="1"/>
        <rFont val="Arial"/>
        <family val="2"/>
      </rPr>
      <t>DMC)</t>
    </r>
    <r>
      <rPr>
        <sz val="10"/>
        <color theme="1"/>
        <rFont val="宋体"/>
        <family val="3"/>
        <charset val="134"/>
      </rPr>
      <t>”保持一致</t>
    </r>
    <phoneticPr fontId="1" type="noConversion"/>
  </si>
  <si>
    <r>
      <t>1.</t>
    </r>
    <r>
      <rPr>
        <sz val="10"/>
        <color theme="1"/>
        <rFont val="宋体"/>
        <family val="3"/>
        <charset val="134"/>
      </rPr>
      <t>输入参数表中参数</t>
    </r>
    <r>
      <rPr>
        <sz val="10"/>
        <color theme="1"/>
        <rFont val="Arial"/>
        <family val="2"/>
      </rPr>
      <t>Conf_IAtpCommMode</t>
    </r>
    <r>
      <rPr>
        <sz val="10"/>
        <color theme="1"/>
        <rFont val="宋体"/>
        <family val="3"/>
        <charset val="134"/>
      </rPr>
      <t xml:space="preserve">增加混合模式；
</t>
    </r>
    <r>
      <rPr>
        <sz val="10"/>
        <color theme="1"/>
        <rFont val="Arial"/>
        <family val="2"/>
      </rPr>
      <t>2.</t>
    </r>
    <r>
      <rPr>
        <sz val="10"/>
        <color theme="1"/>
        <rFont val="宋体"/>
        <family val="3"/>
        <charset val="134"/>
      </rPr>
      <t>系统通用参数表中</t>
    </r>
    <r>
      <rPr>
        <sz val="10"/>
        <color theme="1"/>
        <rFont val="Arial"/>
        <family val="2"/>
      </rPr>
      <t>CFG_T_ROUTE_VALID_IMC</t>
    </r>
    <r>
      <rPr>
        <sz val="10"/>
        <color theme="1"/>
        <rFont val="宋体"/>
        <family val="3"/>
        <charset val="134"/>
      </rPr>
      <t>参数适用本项目与否改为</t>
    </r>
    <r>
      <rPr>
        <sz val="10"/>
        <color theme="1"/>
        <rFont val="Arial"/>
        <family val="2"/>
      </rPr>
      <t>FALSE</t>
    </r>
    <r>
      <rPr>
        <sz val="10"/>
        <color theme="1"/>
        <rFont val="宋体"/>
        <family val="3"/>
        <charset val="134"/>
      </rPr>
      <t xml:space="preserve">，与系统进路参数表对应一致；
</t>
    </r>
    <r>
      <rPr>
        <sz val="10"/>
        <color theme="1"/>
        <rFont val="Arial"/>
        <family val="2"/>
      </rPr>
      <t>3.</t>
    </r>
    <r>
      <rPr>
        <sz val="10"/>
        <color theme="1"/>
        <rFont val="宋体"/>
        <family val="3"/>
        <charset val="134"/>
      </rPr>
      <t>系统进路参数表中增加一列</t>
    </r>
    <r>
      <rPr>
        <sz val="10"/>
        <color theme="1"/>
        <rFont val="Arial"/>
        <family val="2"/>
      </rPr>
      <t>“</t>
    </r>
    <r>
      <rPr>
        <sz val="10"/>
        <color theme="1"/>
        <rFont val="宋体"/>
        <family val="3"/>
        <charset val="134"/>
      </rPr>
      <t>进路预告方式</t>
    </r>
    <r>
      <rPr>
        <sz val="10"/>
        <color theme="1"/>
        <rFont val="Arial"/>
        <family val="2"/>
      </rPr>
      <t>”</t>
    </r>
    <r>
      <rPr>
        <sz val="10"/>
        <color theme="1"/>
        <rFont val="宋体"/>
        <family val="3"/>
        <charset val="134"/>
      </rPr>
      <t>，以标明每条进路采用信标</t>
    </r>
    <r>
      <rPr>
        <sz val="10"/>
        <color theme="1"/>
        <rFont val="Arial"/>
        <family val="2"/>
      </rPr>
      <t>/</t>
    </r>
    <r>
      <rPr>
        <sz val="10"/>
        <color theme="1"/>
        <rFont val="宋体"/>
        <family val="3"/>
        <charset val="134"/>
      </rPr>
      <t xml:space="preserve">环线进行预告，同时接近区段长度计算改为引用每条进路对应的预告方式；
</t>
    </r>
    <r>
      <rPr>
        <sz val="10"/>
        <color theme="1"/>
        <rFont val="Arial"/>
        <family val="2"/>
      </rPr>
      <t>4.</t>
    </r>
    <r>
      <rPr>
        <sz val="10"/>
        <color theme="1"/>
        <rFont val="宋体"/>
        <family val="3"/>
        <charset val="134"/>
      </rPr>
      <t>对</t>
    </r>
    <r>
      <rPr>
        <sz val="10"/>
        <color theme="1"/>
        <rFont val="Arial"/>
        <family val="2"/>
      </rPr>
      <t>CFG_T_ROUTE_VALID_DMC</t>
    </r>
    <r>
      <rPr>
        <sz val="10"/>
        <color theme="1"/>
        <rFont val="宋体"/>
        <family val="3"/>
        <charset val="134"/>
      </rPr>
      <t xml:space="preserve">参数公式进行了修改，增加了对混用模式的判断；
</t>
    </r>
    <r>
      <rPr>
        <sz val="10"/>
        <color theme="1"/>
        <rFont val="Arial"/>
        <family val="2"/>
      </rPr>
      <t>5.</t>
    </r>
    <r>
      <rPr>
        <sz val="10"/>
        <color theme="1"/>
        <rFont val="宋体"/>
        <family val="3"/>
        <charset val="134"/>
      </rPr>
      <t>修改系统进路参数表</t>
    </r>
    <r>
      <rPr>
        <sz val="10"/>
        <color theme="1"/>
        <rFont val="Arial"/>
        <family val="2"/>
      </rPr>
      <t>“</t>
    </r>
    <r>
      <rPr>
        <sz val="10"/>
        <color theme="1"/>
        <rFont val="宋体"/>
        <family val="3"/>
        <charset val="134"/>
      </rPr>
      <t>保护区段泊车区段预取消时间</t>
    </r>
    <r>
      <rPr>
        <sz val="10"/>
        <color theme="1"/>
        <rFont val="Arial"/>
        <family val="2"/>
      </rPr>
      <t>s”</t>
    </r>
    <r>
      <rPr>
        <sz val="10"/>
        <color theme="1"/>
        <rFont val="宋体"/>
        <family val="3"/>
        <charset val="134"/>
      </rPr>
      <t xml:space="preserve">计算公式；
</t>
    </r>
    <r>
      <rPr>
        <sz val="10"/>
        <color theme="1"/>
        <rFont val="Arial"/>
        <family val="2"/>
      </rPr>
      <t>6.</t>
    </r>
    <r>
      <rPr>
        <sz val="10"/>
        <color theme="1"/>
        <rFont val="宋体"/>
        <family val="3"/>
        <charset val="134"/>
      </rPr>
      <t>系统进路参数表中对该页签内行的引用改为相对引用；</t>
    </r>
    <phoneticPr fontId="1" type="noConversion"/>
  </si>
  <si>
    <r>
      <t>1.</t>
    </r>
    <r>
      <rPr>
        <sz val="10"/>
        <color theme="1"/>
        <rFont val="宋体"/>
        <family val="3"/>
        <charset val="134"/>
      </rPr>
      <t>删除输入参数</t>
    </r>
    <r>
      <rPr>
        <sz val="10"/>
        <color theme="1"/>
        <rFont val="Arial"/>
        <family val="2"/>
      </rPr>
      <t>Proj_PlatSecLength</t>
    </r>
    <r>
      <rPr>
        <sz val="10"/>
        <color theme="1"/>
        <rFont val="宋体"/>
        <family val="3"/>
        <charset val="134"/>
      </rPr>
      <t>、</t>
    </r>
    <r>
      <rPr>
        <sz val="10"/>
        <color theme="1"/>
        <rFont val="Arial"/>
        <family val="2"/>
      </rPr>
      <t>Proj_MaxRouteLength</t>
    </r>
    <r>
      <rPr>
        <sz val="10"/>
        <color theme="1"/>
        <rFont val="宋体"/>
        <family val="3"/>
        <charset val="134"/>
      </rPr>
      <t>、</t>
    </r>
    <r>
      <rPr>
        <sz val="10"/>
        <color theme="1"/>
        <rFont val="Arial"/>
        <family val="2"/>
      </rPr>
      <t>Proj_MaxRlseBcnDist</t>
    </r>
    <r>
      <rPr>
        <sz val="10"/>
        <color theme="1"/>
        <rFont val="宋体"/>
        <family val="3"/>
        <charset val="134"/>
      </rPr>
      <t>和</t>
    </r>
    <r>
      <rPr>
        <sz val="10"/>
        <color theme="1"/>
        <rFont val="Arial"/>
        <family val="2"/>
      </rPr>
      <t>Proj_MaxApprBcnDist</t>
    </r>
    <r>
      <rPr>
        <sz val="10"/>
        <color theme="1"/>
        <rFont val="宋体"/>
        <family val="3"/>
        <charset val="134"/>
      </rPr>
      <t xml:space="preserve">；
</t>
    </r>
    <r>
      <rPr>
        <sz val="10"/>
        <color theme="1"/>
        <rFont val="Arial"/>
        <family val="2"/>
      </rPr>
      <t>2.</t>
    </r>
    <r>
      <rPr>
        <sz val="10"/>
        <color theme="1"/>
        <rFont val="宋体"/>
        <family val="3"/>
        <charset val="134"/>
      </rPr>
      <t>系统通用参数表中参数</t>
    </r>
    <r>
      <rPr>
        <sz val="10"/>
        <color theme="1"/>
        <rFont val="Arial"/>
        <family val="2"/>
      </rPr>
      <t>CFG_T_ROUTE_VALID_DMC</t>
    </r>
    <r>
      <rPr>
        <sz val="10"/>
        <color theme="1"/>
        <rFont val="宋体"/>
        <family val="3"/>
        <charset val="134"/>
      </rPr>
      <t>、</t>
    </r>
    <r>
      <rPr>
        <sz val="10"/>
        <color theme="1"/>
        <rFont val="Arial"/>
        <family val="2"/>
      </rPr>
      <t>CFG_T_ROUTE_VALID_IMC</t>
    </r>
    <r>
      <rPr>
        <sz val="10"/>
        <color theme="1"/>
        <rFont val="宋体"/>
        <family val="3"/>
        <charset val="134"/>
      </rPr>
      <t>、</t>
    </r>
    <r>
      <rPr>
        <sz val="10"/>
        <color theme="1"/>
        <rFont val="Arial"/>
        <family val="2"/>
      </rPr>
      <t>CFG_T_OVERLAP_BERTH_RELEASE</t>
    </r>
    <r>
      <rPr>
        <sz val="10"/>
        <color theme="1"/>
        <rFont val="宋体"/>
        <family val="3"/>
        <charset val="134"/>
      </rPr>
      <t>和</t>
    </r>
    <r>
      <rPr>
        <sz val="10"/>
        <color theme="1"/>
        <rFont val="Arial"/>
        <family val="2"/>
      </rPr>
      <t>CFG_T_IATPMAL_ALIVE</t>
    </r>
    <r>
      <rPr>
        <sz val="10"/>
        <color theme="1"/>
        <rFont val="宋体"/>
        <family val="3"/>
        <charset val="134"/>
      </rPr>
      <t xml:space="preserve">移到系统进路参数表中计算，原公式中对上述删除参数的引用更改为对每条进路中输入参数的引用；
</t>
    </r>
    <r>
      <rPr>
        <sz val="10"/>
        <color theme="1"/>
        <rFont val="Arial"/>
        <family val="2"/>
      </rPr>
      <t>3.</t>
    </r>
    <r>
      <rPr>
        <sz val="10"/>
        <color theme="1"/>
        <rFont val="宋体"/>
        <family val="3"/>
        <charset val="134"/>
      </rPr>
      <t>原通用参数</t>
    </r>
    <r>
      <rPr>
        <sz val="10"/>
        <color theme="1"/>
        <rFont val="Arial"/>
        <family val="2"/>
      </rPr>
      <t>CFG_T_OVERLAP_BERTH_RELEASE</t>
    </r>
    <r>
      <rPr>
        <sz val="10"/>
        <color theme="1"/>
        <rFont val="宋体"/>
        <family val="3"/>
        <charset val="134"/>
      </rPr>
      <t>、</t>
    </r>
    <r>
      <rPr>
        <sz val="10"/>
        <color theme="1"/>
        <rFont val="Arial"/>
        <family val="2"/>
      </rPr>
      <t>CFG_T_IATPMAL_ALIVE</t>
    </r>
    <r>
      <rPr>
        <sz val="10"/>
        <color theme="1"/>
        <rFont val="宋体"/>
        <family val="3"/>
        <charset val="134"/>
      </rPr>
      <t>、</t>
    </r>
    <r>
      <rPr>
        <sz val="10"/>
        <color theme="1"/>
        <rFont val="Arial"/>
        <family val="2"/>
      </rPr>
      <t>CFG_V_MAX_JUMP</t>
    </r>
    <r>
      <rPr>
        <sz val="10"/>
        <color theme="1"/>
        <rFont val="宋体"/>
        <family val="3"/>
        <charset val="134"/>
      </rPr>
      <t>和</t>
    </r>
    <r>
      <rPr>
        <sz val="10"/>
        <color theme="1"/>
        <rFont val="Arial"/>
        <family val="2"/>
      </rPr>
      <t>CFG_D_MAX_JUMP</t>
    </r>
    <r>
      <rPr>
        <sz val="10"/>
        <color theme="1"/>
        <rFont val="宋体"/>
        <family val="3"/>
        <charset val="134"/>
      </rPr>
      <t>分别修改为</t>
    </r>
    <r>
      <rPr>
        <sz val="10"/>
        <color theme="1"/>
        <rFont val="Arial"/>
        <family val="2"/>
      </rPr>
      <t>CFG_T_OVERLAP_VALID_BERTH</t>
    </r>
    <r>
      <rPr>
        <sz val="10"/>
        <color theme="1"/>
        <rFont val="宋体"/>
        <family val="3"/>
        <charset val="134"/>
      </rPr>
      <t>、</t>
    </r>
    <r>
      <rPr>
        <sz val="10"/>
        <color theme="1"/>
        <rFont val="Arial"/>
        <family val="2"/>
      </rPr>
      <t>CFG_T_OVERLAP_VALID_ROUTE</t>
    </r>
    <r>
      <rPr>
        <sz val="10"/>
        <color theme="1"/>
        <rFont val="宋体"/>
        <family val="3"/>
        <charset val="134"/>
      </rPr>
      <t>、</t>
    </r>
    <r>
      <rPr>
        <sz val="10"/>
        <color theme="1"/>
        <rFont val="Arial"/>
        <family val="2"/>
      </rPr>
      <t>CFG_V_MAX_JUMP_DEPOT</t>
    </r>
    <r>
      <rPr>
        <sz val="10"/>
        <color theme="1"/>
        <rFont val="宋体"/>
        <family val="3"/>
        <charset val="134"/>
      </rPr>
      <t>和</t>
    </r>
    <r>
      <rPr>
        <sz val="10"/>
        <color theme="1"/>
        <rFont val="Arial"/>
        <family val="2"/>
      </rPr>
      <t>CFG_D_MAX_JUMP_DEPOT</t>
    </r>
    <r>
      <rPr>
        <sz val="10"/>
        <color theme="1"/>
        <rFont val="宋体"/>
        <family val="3"/>
        <charset val="134"/>
      </rPr>
      <t xml:space="preserve">；
</t>
    </r>
    <r>
      <rPr>
        <sz val="10"/>
        <color theme="1"/>
        <rFont val="Arial"/>
        <family val="2"/>
      </rPr>
      <t>4.</t>
    </r>
    <r>
      <rPr>
        <sz val="10"/>
        <color theme="1"/>
        <rFont val="宋体"/>
        <family val="3"/>
        <charset val="134"/>
      </rPr>
      <t>删除输入参数</t>
    </r>
    <r>
      <rPr>
        <sz val="10"/>
        <color theme="1"/>
        <rFont val="Arial"/>
        <family val="2"/>
      </rPr>
      <t>Proj_MaxDwellTime</t>
    </r>
    <r>
      <rPr>
        <sz val="10"/>
        <color theme="1"/>
        <rFont val="宋体"/>
        <family val="3"/>
        <charset val="134"/>
      </rPr>
      <t>、</t>
    </r>
    <r>
      <rPr>
        <sz val="10"/>
        <color theme="1"/>
        <rFont val="Arial"/>
        <family val="2"/>
      </rPr>
      <t>Conf_IAtpReleaseSpd</t>
    </r>
    <r>
      <rPr>
        <sz val="10"/>
        <color theme="1"/>
        <rFont val="宋体"/>
        <family val="3"/>
        <charset val="134"/>
      </rPr>
      <t xml:space="preserve">；
</t>
    </r>
    <r>
      <rPr>
        <sz val="10"/>
        <color theme="1"/>
        <rFont val="Arial"/>
        <family val="2"/>
      </rPr>
      <t>5.</t>
    </r>
    <r>
      <rPr>
        <sz val="10"/>
        <color theme="1"/>
        <rFont val="宋体"/>
        <family val="3"/>
        <charset val="134"/>
      </rPr>
      <t>增加输入参数</t>
    </r>
    <r>
      <rPr>
        <sz val="10"/>
        <color theme="1"/>
        <rFont val="Arial"/>
        <family val="2"/>
      </rPr>
      <t>Proj_MaxDistBcn2SpJump</t>
    </r>
    <r>
      <rPr>
        <sz val="10"/>
        <color theme="1"/>
        <rFont val="宋体"/>
        <family val="3"/>
        <charset val="134"/>
      </rPr>
      <t>、</t>
    </r>
    <r>
      <rPr>
        <sz val="10"/>
        <color theme="1"/>
        <rFont val="Arial"/>
        <family val="2"/>
      </rPr>
      <t>Proj_MaxDistBcn2SpOpen</t>
    </r>
    <r>
      <rPr>
        <sz val="10"/>
        <color theme="1"/>
        <rFont val="宋体"/>
        <family val="3"/>
        <charset val="134"/>
      </rPr>
      <t xml:space="preserve">；
</t>
    </r>
    <r>
      <rPr>
        <sz val="10"/>
        <color theme="1"/>
        <rFont val="Arial"/>
        <family val="2"/>
      </rPr>
      <t>6.</t>
    </r>
    <r>
      <rPr>
        <sz val="10"/>
        <color theme="1"/>
        <rFont val="宋体"/>
        <family val="3"/>
        <charset val="134"/>
      </rPr>
      <t>系统进路参数表中增加一列</t>
    </r>
    <r>
      <rPr>
        <sz val="10"/>
        <color theme="1"/>
        <rFont val="Arial"/>
        <family val="2"/>
      </rPr>
      <t>“</t>
    </r>
    <r>
      <rPr>
        <sz val="10"/>
        <color theme="1"/>
        <rFont val="宋体"/>
        <family val="3"/>
        <charset val="134"/>
      </rPr>
      <t>泊车区段停车时间</t>
    </r>
    <r>
      <rPr>
        <sz val="10"/>
        <color theme="1"/>
        <rFont val="Arial"/>
        <family val="2"/>
      </rPr>
      <t>s”</t>
    </r>
    <r>
      <rPr>
        <sz val="10"/>
        <color theme="1"/>
        <rFont val="宋体"/>
        <family val="3"/>
        <charset val="134"/>
      </rPr>
      <t>，参数</t>
    </r>
    <r>
      <rPr>
        <sz val="10"/>
        <color theme="1"/>
        <rFont val="Arial"/>
        <family val="2"/>
      </rPr>
      <t>CFG_T_OVERLAP_VALID_ROUTE</t>
    </r>
    <r>
      <rPr>
        <sz val="10"/>
        <color theme="1"/>
        <rFont val="宋体"/>
        <family val="3"/>
        <charset val="134"/>
      </rPr>
      <t xml:space="preserve">对站停时间的引用修改为对对应进路站停时间的引用；
</t>
    </r>
    <r>
      <rPr>
        <sz val="10"/>
        <color theme="1"/>
        <rFont val="Arial"/>
        <family val="2"/>
      </rPr>
      <t>7.</t>
    </r>
    <r>
      <rPr>
        <sz val="10"/>
        <color theme="1"/>
        <rFont val="宋体"/>
        <family val="3"/>
        <charset val="134"/>
      </rPr>
      <t>根据设计文档修改通用参数</t>
    </r>
    <r>
      <rPr>
        <sz val="10"/>
        <color theme="1"/>
        <rFont val="Arial"/>
        <family val="2"/>
      </rPr>
      <t>CFG_V_MAX_JUMP_DEPOT</t>
    </r>
    <r>
      <rPr>
        <sz val="10"/>
        <color theme="1"/>
        <rFont val="宋体"/>
        <family val="3"/>
        <charset val="134"/>
      </rPr>
      <t>、</t>
    </r>
    <r>
      <rPr>
        <sz val="10"/>
        <color theme="1"/>
        <rFont val="Arial"/>
        <family val="2"/>
      </rPr>
      <t>CFG_V_ATPOPEN_SPD</t>
    </r>
    <r>
      <rPr>
        <sz val="10"/>
        <color theme="1"/>
        <rFont val="宋体"/>
        <family val="3"/>
        <charset val="134"/>
      </rPr>
      <t>计算公式；</t>
    </r>
    <phoneticPr fontId="1" type="noConversion"/>
  </si>
  <si>
    <r>
      <t>1.</t>
    </r>
    <r>
      <rPr>
        <sz val="10"/>
        <color theme="1"/>
        <rFont val="宋体"/>
        <family val="3"/>
        <charset val="134"/>
      </rPr>
      <t>删除输入参数</t>
    </r>
    <r>
      <rPr>
        <sz val="10"/>
        <color theme="1"/>
        <rFont val="Arial"/>
        <family val="2"/>
      </rPr>
      <t>Conf_HandOverZCDelay</t>
    </r>
    <r>
      <rPr>
        <sz val="10"/>
        <color theme="1"/>
        <rFont val="宋体"/>
        <family val="3"/>
        <charset val="134"/>
      </rPr>
      <t>、</t>
    </r>
    <r>
      <rPr>
        <sz val="10"/>
        <color theme="1"/>
        <rFont val="Arial"/>
        <family val="2"/>
      </rPr>
      <t>Proj_MaxBeaconDist</t>
    </r>
    <r>
      <rPr>
        <sz val="10"/>
        <color theme="1"/>
        <rFont val="宋体"/>
        <family val="3"/>
        <charset val="134"/>
      </rPr>
      <t xml:space="preserve">；
</t>
    </r>
    <r>
      <rPr>
        <sz val="10"/>
        <color theme="1"/>
        <rFont val="Arial"/>
        <family val="2"/>
      </rPr>
      <t>2.</t>
    </r>
    <r>
      <rPr>
        <sz val="10"/>
        <color theme="1"/>
        <rFont val="宋体"/>
        <family val="3"/>
        <charset val="134"/>
      </rPr>
      <t>增加输入参数</t>
    </r>
    <r>
      <rPr>
        <sz val="10"/>
        <color theme="1"/>
        <rFont val="Arial"/>
        <family val="2"/>
      </rPr>
      <t>Conf_MinDriverSpd</t>
    </r>
    <r>
      <rPr>
        <sz val="10"/>
        <color theme="1"/>
        <rFont val="宋体"/>
        <family val="3"/>
        <charset val="134"/>
      </rPr>
      <t>、</t>
    </r>
    <r>
      <rPr>
        <sz val="10"/>
        <color theme="1"/>
        <rFont val="Arial"/>
        <family val="2"/>
      </rPr>
      <t>Conf_ReverseTractCmd</t>
    </r>
    <r>
      <rPr>
        <sz val="10"/>
        <color theme="1"/>
        <rFont val="宋体"/>
        <family val="3"/>
        <charset val="134"/>
      </rPr>
      <t>；</t>
    </r>
    <r>
      <rPr>
        <sz val="10"/>
        <color theme="1"/>
        <rFont val="Arial"/>
        <family val="2"/>
      </rPr>
      <t xml:space="preserve">
3.</t>
    </r>
    <r>
      <rPr>
        <sz val="10"/>
        <color theme="1"/>
        <rFont val="宋体"/>
        <family val="3"/>
        <charset val="134"/>
      </rPr>
      <t>修改系统进路参数表中“接近区段长度</t>
    </r>
    <r>
      <rPr>
        <sz val="10"/>
        <color theme="1"/>
        <rFont val="Arial"/>
        <family val="2"/>
      </rPr>
      <t>m</t>
    </r>
    <r>
      <rPr>
        <sz val="10"/>
        <color theme="1"/>
        <rFont val="宋体"/>
        <family val="3"/>
        <charset val="134"/>
      </rPr>
      <t>”、“</t>
    </r>
    <r>
      <rPr>
        <sz val="10"/>
        <color theme="1"/>
        <rFont val="Arial"/>
        <family val="2"/>
      </rPr>
      <t>CFG_T_ROUTE_VALID_DMC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s(DMC)</t>
    </r>
    <r>
      <rPr>
        <sz val="10"/>
        <color theme="1"/>
        <rFont val="宋体"/>
        <family val="3"/>
        <charset val="134"/>
      </rPr>
      <t>”及“</t>
    </r>
    <r>
      <rPr>
        <sz val="10"/>
        <color theme="1"/>
        <rFont val="Arial"/>
        <family val="2"/>
      </rPr>
      <t>CFG_T_ROUTE_VALID_IMC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s(IMC)</t>
    </r>
    <r>
      <rPr>
        <sz val="10"/>
        <color theme="1"/>
        <rFont val="宋体"/>
        <family val="3"/>
        <charset val="134"/>
      </rPr>
      <t xml:space="preserve">”计算公式；
</t>
    </r>
    <r>
      <rPr>
        <sz val="10"/>
        <color theme="1"/>
        <rFont val="Arial"/>
        <family val="2"/>
      </rPr>
      <t>4.</t>
    </r>
    <r>
      <rPr>
        <sz val="10"/>
        <color theme="1"/>
        <rFont val="宋体"/>
        <family val="3"/>
        <charset val="134"/>
      </rPr>
      <t>根据设计文档修改删除关键参数</t>
    </r>
    <r>
      <rPr>
        <sz val="10"/>
        <color theme="1"/>
        <rFont val="Arial"/>
        <family val="2"/>
      </rPr>
      <t>CFG_ERR_WDIAM_CFG</t>
    </r>
    <r>
      <rPr>
        <sz val="10"/>
        <color theme="1"/>
        <rFont val="宋体"/>
        <family val="3"/>
        <charset val="134"/>
      </rPr>
      <t>、</t>
    </r>
    <r>
      <rPr>
        <sz val="10"/>
        <color theme="1"/>
        <rFont val="Arial"/>
        <family val="2"/>
      </rPr>
      <t>CFG_ERR_WHEEL_SURFACE</t>
    </r>
    <r>
      <rPr>
        <sz val="10"/>
        <color theme="1"/>
        <rFont val="宋体"/>
        <family val="3"/>
        <charset val="134"/>
      </rPr>
      <t xml:space="preserve">；
</t>
    </r>
    <r>
      <rPr>
        <sz val="10"/>
        <color theme="1"/>
        <rFont val="Arial"/>
        <family val="2"/>
      </rPr>
      <t>5.</t>
    </r>
    <r>
      <rPr>
        <sz val="10"/>
        <color theme="1"/>
        <rFont val="宋体"/>
        <family val="3"/>
        <charset val="134"/>
      </rPr>
      <t>系统进路参数表页增加一列“接近区段安全制动距离</t>
    </r>
    <r>
      <rPr>
        <sz val="10"/>
        <color theme="1"/>
        <rFont val="Arial"/>
        <family val="2"/>
      </rPr>
      <t>m</t>
    </r>
    <r>
      <rPr>
        <sz val="10"/>
        <color theme="1"/>
        <rFont val="宋体"/>
        <family val="3"/>
        <charset val="134"/>
      </rPr>
      <t xml:space="preserve">”，同时修改“最差接近坡度”填写要求，以优化接近区段长度计算，并便于验证人员验证；
</t>
    </r>
    <r>
      <rPr>
        <sz val="10"/>
        <color theme="1"/>
        <rFont val="Arial"/>
        <family val="2"/>
      </rPr>
      <t>6.</t>
    </r>
    <r>
      <rPr>
        <sz val="10"/>
        <color theme="1"/>
        <rFont val="宋体"/>
        <family val="3"/>
        <charset val="134"/>
      </rPr>
      <t>参数</t>
    </r>
    <r>
      <rPr>
        <sz val="10"/>
        <color theme="1"/>
        <rFont val="Arial"/>
        <family val="2"/>
      </rPr>
      <t>CFG_T_OVERLAP_VALID_ROUTE</t>
    </r>
    <r>
      <rPr>
        <sz val="10"/>
        <color theme="1"/>
        <rFont val="宋体"/>
        <family val="3"/>
        <charset val="134"/>
      </rPr>
      <t>名称修改为</t>
    </r>
    <r>
      <rPr>
        <sz val="10"/>
        <color theme="1"/>
        <rFont val="Arial"/>
        <family val="2"/>
      </rPr>
      <t>CFG_T_OVERMAL_VALID_ROUTE</t>
    </r>
    <r>
      <rPr>
        <sz val="10"/>
        <color theme="1"/>
        <rFont val="宋体"/>
        <family val="3"/>
        <charset val="134"/>
      </rPr>
      <t xml:space="preserve">；
</t>
    </r>
    <r>
      <rPr>
        <sz val="10"/>
        <color theme="1"/>
        <rFont val="Arial"/>
        <family val="2"/>
      </rPr>
      <t>7.</t>
    </r>
    <r>
      <rPr>
        <sz val="10"/>
        <color theme="1"/>
        <rFont val="宋体"/>
        <family val="3"/>
        <charset val="134"/>
      </rPr>
      <t>参数</t>
    </r>
    <r>
      <rPr>
        <sz val="10"/>
        <color theme="1"/>
        <rFont val="Arial"/>
        <family val="2"/>
      </rPr>
      <t>CFG_D_MAX_ROLL_AWAY</t>
    </r>
    <r>
      <rPr>
        <sz val="10"/>
        <color theme="1"/>
        <rFont val="宋体"/>
        <family val="3"/>
        <charset val="134"/>
      </rPr>
      <t>公式根据设计文档修改，考虑新增参数</t>
    </r>
    <r>
      <rPr>
        <sz val="10"/>
        <color theme="1"/>
        <rFont val="Arial"/>
        <family val="2"/>
      </rPr>
      <t>Conf_ReverseTractCmd</t>
    </r>
    <r>
      <rPr>
        <sz val="10"/>
        <color theme="1"/>
        <rFont val="宋体"/>
        <family val="3"/>
        <charset val="134"/>
      </rPr>
      <t xml:space="preserve">，若存在反向牵引，计算超加速时需考虑列车最大加速度；
</t>
    </r>
    <r>
      <rPr>
        <sz val="10"/>
        <color theme="1"/>
        <rFont val="Arial"/>
        <family val="2"/>
      </rPr>
      <t>8.</t>
    </r>
    <r>
      <rPr>
        <sz val="10"/>
        <color theme="1"/>
        <rFont val="宋体"/>
        <family val="3"/>
        <charset val="134"/>
      </rPr>
      <t>系统进路参数表中“</t>
    </r>
    <r>
      <rPr>
        <sz val="10"/>
        <color theme="1"/>
        <rFont val="Arial"/>
        <family val="2"/>
      </rPr>
      <t>CFG_T_ROUTE_VALID_DMC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s(DMC)</t>
    </r>
    <r>
      <rPr>
        <sz val="10"/>
        <color theme="1"/>
        <rFont val="宋体"/>
        <family val="3"/>
        <charset val="134"/>
      </rPr>
      <t>”和“</t>
    </r>
    <r>
      <rPr>
        <sz val="10"/>
        <color theme="1"/>
        <rFont val="Arial"/>
        <family val="2"/>
      </rPr>
      <t>CFG_T_ROUTE_VALID_DMC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s(IMC)</t>
    </r>
    <r>
      <rPr>
        <sz val="10"/>
        <color theme="1"/>
        <rFont val="宋体"/>
        <family val="3"/>
        <charset val="134"/>
      </rPr>
      <t>”公式修正；</t>
    </r>
    <phoneticPr fontId="1" type="noConversion"/>
  </si>
  <si>
    <r>
      <t>1.</t>
    </r>
    <r>
      <rPr>
        <sz val="10"/>
        <color theme="1"/>
        <rFont val="宋体"/>
        <family val="3"/>
        <charset val="134"/>
      </rPr>
      <t xml:space="preserve">与关键参数文档统一输入参数名称；
</t>
    </r>
    <r>
      <rPr>
        <sz val="10"/>
        <color theme="1"/>
        <rFont val="Arial"/>
        <family val="2"/>
      </rPr>
      <t>2.</t>
    </r>
    <r>
      <rPr>
        <sz val="10"/>
        <color theme="1"/>
        <rFont val="宋体"/>
        <family val="3"/>
        <charset val="134"/>
      </rPr>
      <t xml:space="preserve">输入参数表中增加“点式释放限速”参数；
</t>
    </r>
    <r>
      <rPr>
        <sz val="10"/>
        <color theme="1"/>
        <rFont val="Arial"/>
        <family val="2"/>
      </rPr>
      <t>3.</t>
    </r>
    <r>
      <rPr>
        <sz val="10"/>
        <color theme="1"/>
        <rFont val="宋体"/>
        <family val="3"/>
        <charset val="134"/>
      </rPr>
      <t>系统进路参数表中“</t>
    </r>
    <r>
      <rPr>
        <sz val="10"/>
        <color theme="1"/>
        <rFont val="Arial"/>
        <family val="2"/>
      </rPr>
      <t>CFG_T_ROUTE_VALID_DMC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s(DMC)</t>
    </r>
    <r>
      <rPr>
        <sz val="10"/>
        <color theme="1"/>
        <rFont val="宋体"/>
        <family val="3"/>
        <charset val="134"/>
      </rPr>
      <t xml:space="preserve">”计算增加对无预告信标进路的判断；
</t>
    </r>
    <r>
      <rPr>
        <sz val="10"/>
        <color theme="1"/>
        <rFont val="Arial"/>
        <family val="2"/>
      </rPr>
      <t>4.</t>
    </r>
    <r>
      <rPr>
        <sz val="10"/>
        <color theme="1"/>
        <rFont val="宋体"/>
        <family val="3"/>
        <charset val="134"/>
      </rPr>
      <t>系统进路参数表中</t>
    </r>
    <r>
      <rPr>
        <sz val="10"/>
        <color theme="1"/>
        <rFont val="Arial"/>
        <family val="2"/>
      </rPr>
      <t>“CFG_T_ROUTE_VALID_IMC
ATP</t>
    </r>
    <r>
      <rPr>
        <sz val="10"/>
        <color theme="1"/>
        <rFont val="宋体"/>
        <family val="3"/>
        <charset val="134"/>
      </rPr>
      <t>点式</t>
    </r>
    <r>
      <rPr>
        <sz val="10"/>
        <color theme="1"/>
        <rFont val="Arial"/>
        <family val="2"/>
      </rPr>
      <t>MAL</t>
    </r>
    <r>
      <rPr>
        <sz val="10"/>
        <color theme="1"/>
        <rFont val="宋体"/>
        <family val="3"/>
        <charset val="134"/>
      </rPr>
      <t>有效时间</t>
    </r>
    <r>
      <rPr>
        <sz val="10"/>
        <color theme="1"/>
        <rFont val="Arial"/>
        <family val="2"/>
      </rPr>
      <t>s(IMC)”</t>
    </r>
    <r>
      <rPr>
        <sz val="10"/>
        <color theme="1"/>
        <rFont val="宋体"/>
        <family val="3"/>
        <charset val="134"/>
      </rPr>
      <t xml:space="preserve">计算公式中相关速度引用变更；
</t>
    </r>
    <r>
      <rPr>
        <sz val="10"/>
        <color theme="1"/>
        <rFont val="Arial"/>
        <family val="2"/>
      </rPr>
      <t>5.</t>
    </r>
    <r>
      <rPr>
        <sz val="10"/>
        <color theme="1"/>
        <rFont val="宋体"/>
        <family val="3"/>
        <charset val="134"/>
      </rPr>
      <t xml:space="preserve">系统进路参数表中增加一列接近信标编号输入；
</t>
    </r>
    <r>
      <rPr>
        <sz val="10"/>
        <color theme="1"/>
        <rFont val="Arial"/>
        <family val="2"/>
      </rPr>
      <t>6.</t>
    </r>
    <r>
      <rPr>
        <sz val="10"/>
        <color theme="1"/>
        <rFont val="宋体"/>
        <family val="3"/>
        <charset val="134"/>
      </rPr>
      <t>参数</t>
    </r>
    <r>
      <rPr>
        <sz val="10"/>
        <color theme="1"/>
        <rFont val="Arial"/>
        <family val="2"/>
      </rPr>
      <t>CFG_T_ROUTE_VALID_DMC</t>
    </r>
    <r>
      <rPr>
        <sz val="10"/>
        <color theme="1"/>
        <rFont val="宋体"/>
        <family val="3"/>
        <charset val="134"/>
      </rPr>
      <t>、</t>
    </r>
    <r>
      <rPr>
        <sz val="10"/>
        <color theme="1"/>
        <rFont val="Arial"/>
        <family val="2"/>
      </rPr>
      <t>CFG_T_ROUTE_VALID_IMC</t>
    </r>
    <r>
      <rPr>
        <sz val="10"/>
        <color theme="1"/>
        <rFont val="宋体"/>
        <family val="3"/>
        <charset val="134"/>
      </rPr>
      <t>、</t>
    </r>
    <r>
      <rPr>
        <sz val="10"/>
        <color theme="1"/>
        <rFont val="Arial"/>
        <family val="2"/>
      </rPr>
      <t>CFG_T_OVERLAP_VALID_BERTH</t>
    </r>
    <r>
      <rPr>
        <sz val="10"/>
        <color theme="1"/>
        <rFont val="宋体"/>
        <family val="3"/>
        <charset val="134"/>
      </rPr>
      <t>和</t>
    </r>
    <r>
      <rPr>
        <sz val="10"/>
        <color theme="1"/>
        <rFont val="Arial"/>
        <family val="2"/>
      </rPr>
      <t>CFG_T_OVERMAL_VALID_ROUTE</t>
    </r>
    <r>
      <rPr>
        <sz val="10"/>
        <color theme="1"/>
        <rFont val="宋体"/>
        <family val="3"/>
        <charset val="134"/>
      </rPr>
      <t>取值修改为</t>
    </r>
    <r>
      <rPr>
        <sz val="10"/>
        <color theme="1"/>
        <rFont val="Arial"/>
        <family val="2"/>
      </rPr>
      <t>5000ms</t>
    </r>
    <r>
      <rPr>
        <sz val="10"/>
        <color theme="1"/>
        <rFont val="宋体"/>
        <family val="3"/>
        <charset val="134"/>
      </rPr>
      <t xml:space="preserve">向上取整，以方便配置；
</t>
    </r>
    <r>
      <rPr>
        <sz val="10"/>
        <color theme="1"/>
        <rFont val="Arial"/>
        <family val="2"/>
      </rPr>
      <t xml:space="preserve">7. </t>
    </r>
    <r>
      <rPr>
        <sz val="10"/>
        <color theme="1"/>
        <rFont val="宋体"/>
        <family val="3"/>
        <charset val="134"/>
      </rPr>
      <t>参数</t>
    </r>
    <r>
      <rPr>
        <sz val="10"/>
        <color theme="1"/>
        <rFont val="Arial"/>
        <family val="2"/>
      </rPr>
      <t>CFG_T_OVERMAL_VALID_ROUTE</t>
    </r>
    <r>
      <rPr>
        <sz val="10"/>
        <color theme="1"/>
        <rFont val="宋体"/>
        <family val="3"/>
        <charset val="134"/>
      </rPr>
      <t>改名为</t>
    </r>
    <r>
      <rPr>
        <sz val="10"/>
        <color theme="1"/>
        <rFont val="Arial"/>
        <family val="2"/>
      </rPr>
      <t>CFG_T_OVERLAP_VALID_ROUTE</t>
    </r>
    <r>
      <rPr>
        <sz val="10"/>
        <color theme="1"/>
        <rFont val="宋体"/>
        <family val="3"/>
        <charset val="134"/>
      </rPr>
      <t xml:space="preserve">；
</t>
    </r>
    <r>
      <rPr>
        <sz val="10"/>
        <color theme="1"/>
        <rFont val="Arial"/>
        <family val="2"/>
      </rPr>
      <t>8.</t>
    </r>
    <r>
      <rPr>
        <sz val="10"/>
        <color theme="1"/>
        <rFont val="宋体"/>
        <family val="3"/>
        <charset val="134"/>
      </rPr>
      <t xml:space="preserve">输入参数表中增加各子系统通信周期；
</t>
    </r>
    <r>
      <rPr>
        <sz val="10"/>
        <color theme="1"/>
        <rFont val="Arial"/>
        <family val="2"/>
      </rPr>
      <t>9.</t>
    </r>
    <r>
      <rPr>
        <sz val="10"/>
        <color theme="1"/>
        <rFont val="宋体"/>
        <family val="3"/>
        <charset val="134"/>
      </rPr>
      <t xml:space="preserve">修改系统通用参数表中各子系统间通信宽恕时间计算公式；
</t>
    </r>
    <r>
      <rPr>
        <sz val="10"/>
        <color theme="1"/>
        <rFont val="Arial"/>
        <family val="2"/>
      </rPr>
      <t>10.</t>
    </r>
    <r>
      <rPr>
        <sz val="10"/>
        <color theme="1"/>
        <rFont val="宋体"/>
        <family val="3"/>
        <charset val="134"/>
      </rPr>
      <t>系统通用参数表中增加</t>
    </r>
    <r>
      <rPr>
        <sz val="10"/>
        <color theme="1"/>
        <rFont val="Arial"/>
        <family val="2"/>
      </rPr>
      <t>CBI-CBI</t>
    </r>
    <r>
      <rPr>
        <sz val="10"/>
        <color theme="1"/>
        <rFont val="宋体"/>
        <family val="3"/>
        <charset val="134"/>
      </rPr>
      <t>和</t>
    </r>
    <r>
      <rPr>
        <sz val="10"/>
        <color theme="1"/>
        <rFont val="Arial"/>
        <family val="2"/>
      </rPr>
      <t>ZC-ZC</t>
    </r>
    <r>
      <rPr>
        <sz val="10"/>
        <color theme="1"/>
        <rFont val="宋体"/>
        <family val="3"/>
        <charset val="134"/>
      </rPr>
      <t xml:space="preserve">通信宽恕时间；
</t>
    </r>
    <r>
      <rPr>
        <sz val="10"/>
        <color theme="1"/>
        <rFont val="Arial"/>
        <family val="2"/>
      </rPr>
      <t>11.</t>
    </r>
    <r>
      <rPr>
        <sz val="10"/>
        <color theme="1"/>
        <rFont val="宋体"/>
        <family val="3"/>
        <charset val="134"/>
      </rPr>
      <t>修改进路参数表中各联锁延时参数公式，联锁检测计轴占用时，需增加一个处理周期；</t>
    </r>
    <phoneticPr fontId="1" type="noConversion"/>
  </si>
  <si>
    <r>
      <t>1.</t>
    </r>
    <r>
      <rPr>
        <sz val="10"/>
        <color theme="1"/>
        <rFont val="宋体"/>
        <family val="3"/>
        <charset val="134"/>
      </rPr>
      <t>更正了</t>
    </r>
    <r>
      <rPr>
        <sz val="10"/>
        <color theme="1"/>
        <rFont val="Arial"/>
        <family val="2"/>
      </rPr>
      <t>“</t>
    </r>
    <r>
      <rPr>
        <sz val="10"/>
        <color theme="1"/>
        <rFont val="宋体"/>
        <family val="3"/>
        <charset val="134"/>
      </rPr>
      <t>系统通用参数表</t>
    </r>
    <r>
      <rPr>
        <sz val="10"/>
        <color theme="1"/>
        <rFont val="Arial"/>
        <family val="2"/>
      </rPr>
      <t>”</t>
    </r>
    <r>
      <rPr>
        <sz val="10"/>
        <color theme="1"/>
        <rFont val="宋体"/>
        <family val="3"/>
        <charset val="134"/>
      </rPr>
      <t>中</t>
    </r>
    <r>
      <rPr>
        <sz val="10"/>
        <color theme="1"/>
        <rFont val="Arial"/>
        <family val="2"/>
      </rPr>
      <t>CFG_T_OVERLAP_VALID_ROUTE</t>
    </r>
    <r>
      <rPr>
        <sz val="10"/>
        <color theme="1"/>
        <rFont val="宋体"/>
        <family val="3"/>
        <charset val="134"/>
      </rPr>
      <t>、</t>
    </r>
    <r>
      <rPr>
        <sz val="10"/>
        <color theme="1"/>
        <rFont val="Arial"/>
        <family val="2"/>
      </rPr>
      <t>CFG_T_OVERLAP_VALID_BERTH</t>
    </r>
    <r>
      <rPr>
        <sz val="10"/>
        <color theme="1"/>
        <rFont val="宋体"/>
        <family val="3"/>
        <charset val="134"/>
      </rPr>
      <t>、</t>
    </r>
    <r>
      <rPr>
        <sz val="10"/>
        <color theme="1"/>
        <rFont val="Arial"/>
        <family val="2"/>
      </rPr>
      <t>CFG_T_BERTHSEC_OVERLAP_RELEASE</t>
    </r>
    <r>
      <rPr>
        <sz val="10"/>
        <color theme="1"/>
        <rFont val="宋体"/>
        <family val="3"/>
        <charset val="134"/>
      </rPr>
      <t>和</t>
    </r>
    <r>
      <rPr>
        <sz val="10"/>
        <color theme="1"/>
        <rFont val="Arial"/>
        <family val="2"/>
      </rPr>
      <t>CFG_T_ROUTE_OVERLAP_RELEASE</t>
    </r>
    <r>
      <rPr>
        <sz val="10"/>
        <color theme="1"/>
        <rFont val="宋体"/>
        <family val="3"/>
        <charset val="134"/>
      </rPr>
      <t xml:space="preserve">参数名称；
</t>
    </r>
    <r>
      <rPr>
        <sz val="10"/>
        <color theme="1"/>
        <rFont val="Arial"/>
        <family val="2"/>
      </rPr>
      <t>2.</t>
    </r>
    <r>
      <rPr>
        <sz val="10"/>
        <color theme="1"/>
        <rFont val="宋体"/>
        <family val="3"/>
        <charset val="134"/>
      </rPr>
      <t>更正</t>
    </r>
    <r>
      <rPr>
        <sz val="10"/>
        <color theme="1"/>
        <rFont val="Arial"/>
        <family val="2"/>
      </rPr>
      <t>“</t>
    </r>
    <r>
      <rPr>
        <sz val="10"/>
        <color theme="1"/>
        <rFont val="宋体"/>
        <family val="3"/>
        <charset val="134"/>
      </rPr>
      <t>系统通用参数表</t>
    </r>
    <r>
      <rPr>
        <sz val="10"/>
        <color theme="1"/>
        <rFont val="Arial"/>
        <family val="2"/>
      </rPr>
      <t>”</t>
    </r>
    <r>
      <rPr>
        <sz val="10"/>
        <color theme="1"/>
        <rFont val="宋体"/>
        <family val="3"/>
        <charset val="134"/>
      </rPr>
      <t>中对</t>
    </r>
    <r>
      <rPr>
        <sz val="10"/>
        <color theme="1"/>
        <rFont val="Arial"/>
        <family val="2"/>
      </rPr>
      <t>F87~F94</t>
    </r>
    <r>
      <rPr>
        <sz val="10"/>
        <color theme="1"/>
        <rFont val="宋体"/>
        <family val="3"/>
        <charset val="134"/>
      </rPr>
      <t>的引用，由原公式中的</t>
    </r>
    <r>
      <rPr>
        <sz val="10"/>
        <color theme="1"/>
        <rFont val="Arial"/>
        <family val="2"/>
      </rPr>
      <t>0</t>
    </r>
    <r>
      <rPr>
        <sz val="10"/>
        <color theme="1"/>
        <rFont val="宋体"/>
        <family val="3"/>
        <charset val="134"/>
      </rPr>
      <t>数字引用改为</t>
    </r>
    <r>
      <rPr>
        <sz val="10"/>
        <color theme="1"/>
        <rFont val="Arial"/>
        <family val="2"/>
      </rPr>
      <t>"0"</t>
    </r>
    <r>
      <rPr>
        <sz val="10"/>
        <color theme="1"/>
        <rFont val="宋体"/>
        <family val="3"/>
        <charset val="134"/>
      </rPr>
      <t>引用，</t>
    </r>
    <r>
      <rPr>
        <sz val="10"/>
        <color theme="1"/>
        <rFont val="Arial"/>
        <family val="2"/>
      </rPr>
      <t>F87~F94</t>
    </r>
    <r>
      <rPr>
        <sz val="10"/>
        <color theme="1"/>
        <rFont val="宋体"/>
        <family val="3"/>
        <charset val="134"/>
      </rPr>
      <t xml:space="preserve">单元格需以文本格式填写；
</t>
    </r>
    <r>
      <rPr>
        <sz val="10"/>
        <color theme="1"/>
        <rFont val="Arial"/>
        <family val="2"/>
      </rPr>
      <t>3.”</t>
    </r>
    <r>
      <rPr>
        <sz val="10"/>
        <color theme="1"/>
        <rFont val="宋体"/>
        <family val="3"/>
        <charset val="134"/>
      </rPr>
      <t>系统进路参数表</t>
    </r>
    <r>
      <rPr>
        <sz val="10"/>
        <color theme="1"/>
        <rFont val="Arial"/>
        <family val="2"/>
      </rPr>
      <t>“</t>
    </r>
    <r>
      <rPr>
        <sz val="10"/>
        <color theme="1"/>
        <rFont val="宋体"/>
        <family val="3"/>
        <charset val="134"/>
      </rPr>
      <t xml:space="preserve">中引导进路延时解锁时间中坡度引用错误，改为对进路最差坡度的引用；
</t>
    </r>
    <r>
      <rPr>
        <sz val="10"/>
        <color theme="1"/>
        <rFont val="Arial"/>
        <family val="2"/>
      </rPr>
      <t>4.“</t>
    </r>
    <r>
      <rPr>
        <sz val="10"/>
        <color theme="1"/>
        <rFont val="宋体"/>
        <family val="3"/>
        <charset val="134"/>
      </rPr>
      <t>系统进路参数表</t>
    </r>
    <r>
      <rPr>
        <sz val="10"/>
        <color theme="1"/>
        <rFont val="Arial"/>
        <family val="2"/>
      </rPr>
      <t>”</t>
    </r>
    <r>
      <rPr>
        <sz val="10"/>
        <color theme="1"/>
        <rFont val="宋体"/>
        <family val="3"/>
        <charset val="134"/>
      </rPr>
      <t>中联锁进路总人解延迟时间</t>
    </r>
    <r>
      <rPr>
        <sz val="10"/>
        <color theme="1"/>
        <rFont val="Arial"/>
        <family val="2"/>
      </rPr>
      <t>s(DMC)</t>
    </r>
    <r>
      <rPr>
        <sz val="10"/>
        <color theme="1"/>
        <rFont val="宋体"/>
        <family val="3"/>
        <charset val="134"/>
      </rPr>
      <t>参数根据设计文档删除联锁周期</t>
    </r>
    <r>
      <rPr>
        <sz val="10"/>
        <color theme="1"/>
        <rFont val="Arial"/>
        <family val="2"/>
      </rPr>
      <t>+100ms</t>
    </r>
    <r>
      <rPr>
        <sz val="10"/>
        <color theme="1"/>
        <rFont val="宋体"/>
        <family val="3"/>
        <charset val="134"/>
      </rPr>
      <t>的计算；</t>
    </r>
    <phoneticPr fontId="1" type="noConversion"/>
  </si>
  <si>
    <r>
      <t>1.</t>
    </r>
    <r>
      <rPr>
        <sz val="10"/>
        <color theme="1"/>
        <rFont val="宋体"/>
        <family val="3"/>
        <charset val="134"/>
      </rPr>
      <t>因参数</t>
    </r>
    <r>
      <rPr>
        <sz val="10"/>
        <color theme="1"/>
        <rFont val="Arial"/>
        <family val="2"/>
      </rPr>
      <t>CFG_ERR_STATION_BERTH</t>
    </r>
    <r>
      <rPr>
        <sz val="10"/>
        <color theme="1"/>
        <rFont val="宋体"/>
        <family val="3"/>
        <charset val="134"/>
      </rPr>
      <t>修改，</t>
    </r>
    <r>
      <rPr>
        <sz val="10"/>
        <color theme="1"/>
        <rFont val="Arial"/>
        <family val="2"/>
      </rPr>
      <t>"</t>
    </r>
    <r>
      <rPr>
        <sz val="10"/>
        <color theme="1"/>
        <rFont val="宋体"/>
        <family val="3"/>
        <charset val="134"/>
      </rPr>
      <t>输入参数表</t>
    </r>
    <r>
      <rPr>
        <sz val="10"/>
        <color theme="1"/>
        <rFont val="Arial"/>
        <family val="2"/>
      </rPr>
      <t>"</t>
    </r>
    <r>
      <rPr>
        <sz val="10"/>
        <color theme="1"/>
        <rFont val="宋体"/>
        <family val="3"/>
        <charset val="134"/>
      </rPr>
      <t>中删除参数乘客上下车可接受的出入间隙，增加参数屏蔽门边界到端门最小距离和车门边界到车钩距离；</t>
    </r>
    <r>
      <rPr>
        <sz val="10"/>
        <color theme="1"/>
        <rFont val="Arial"/>
        <family val="2"/>
      </rPr>
      <t xml:space="preserve">
2.“</t>
    </r>
    <r>
      <rPr>
        <sz val="10"/>
        <color theme="1"/>
        <rFont val="宋体"/>
        <family val="3"/>
        <charset val="134"/>
      </rPr>
      <t>系统进路参数表</t>
    </r>
    <r>
      <rPr>
        <sz val="10"/>
        <color theme="1"/>
        <rFont val="Arial"/>
        <family val="2"/>
      </rPr>
      <t>”</t>
    </r>
    <r>
      <rPr>
        <sz val="10"/>
        <color theme="1"/>
        <rFont val="宋体"/>
        <family val="3"/>
        <charset val="134"/>
      </rPr>
      <t>中引导进路延迟解锁时间的坡度引用改为</t>
    </r>
    <r>
      <rPr>
        <sz val="10"/>
        <color theme="1"/>
        <rFont val="Arial"/>
        <family val="2"/>
      </rPr>
      <t>"</t>
    </r>
    <r>
      <rPr>
        <sz val="10"/>
        <color theme="1"/>
        <rFont val="宋体"/>
        <family val="3"/>
        <charset val="134"/>
      </rPr>
      <t>输入参数表</t>
    </r>
    <r>
      <rPr>
        <sz val="10"/>
        <color theme="1"/>
        <rFont val="Arial"/>
        <family val="2"/>
      </rPr>
      <t>"</t>
    </r>
    <r>
      <rPr>
        <sz val="10"/>
        <color theme="1"/>
        <rFont val="宋体"/>
        <family val="3"/>
        <charset val="134"/>
      </rPr>
      <t xml:space="preserve">中的线路最差下坡坡度；
</t>
    </r>
    <r>
      <rPr>
        <sz val="10"/>
        <color theme="1"/>
        <rFont val="Arial"/>
        <family val="2"/>
      </rPr>
      <t>3.“</t>
    </r>
    <r>
      <rPr>
        <sz val="10"/>
        <color theme="1"/>
        <rFont val="宋体"/>
        <family val="3"/>
        <charset val="134"/>
      </rPr>
      <t>系统进路参数表</t>
    </r>
    <r>
      <rPr>
        <sz val="10"/>
        <color theme="1"/>
        <rFont val="Arial"/>
        <family val="2"/>
      </rPr>
      <t>”</t>
    </r>
    <r>
      <rPr>
        <sz val="10"/>
        <color theme="1"/>
        <rFont val="宋体"/>
        <family val="3"/>
        <charset val="134"/>
      </rPr>
      <t>中增加一列</t>
    </r>
    <r>
      <rPr>
        <sz val="10"/>
        <color theme="1"/>
        <rFont val="Arial"/>
        <family val="2"/>
      </rPr>
      <t>"</t>
    </r>
    <r>
      <rPr>
        <sz val="10"/>
        <color theme="1"/>
        <rFont val="宋体"/>
        <family val="3"/>
        <charset val="134"/>
      </rPr>
      <t>平均坡度起算点至信号机距离</t>
    </r>
    <r>
      <rPr>
        <sz val="10"/>
        <color theme="1"/>
        <rFont val="Arial"/>
        <family val="2"/>
      </rPr>
      <t>"</t>
    </r>
    <r>
      <rPr>
        <sz val="10"/>
        <color theme="1"/>
        <rFont val="宋体"/>
        <family val="3"/>
        <charset val="134"/>
      </rPr>
      <t xml:space="preserve">，当最差接近坡度取平均坡度时，该值应大于以平均坡度计算的安全制动距离，故以该值作为安全制动距离是安全值；
</t>
    </r>
    <r>
      <rPr>
        <sz val="10"/>
        <color theme="1"/>
        <rFont val="Arial"/>
        <family val="2"/>
      </rPr>
      <t>4.</t>
    </r>
    <r>
      <rPr>
        <sz val="10"/>
        <color theme="1"/>
        <rFont val="宋体"/>
        <family val="3"/>
        <charset val="134"/>
      </rPr>
      <t>依据轨道数据库设计规格书新增</t>
    </r>
    <r>
      <rPr>
        <sz val="10"/>
        <color theme="1"/>
        <rFont val="Arial"/>
        <family val="2"/>
      </rPr>
      <t>"</t>
    </r>
    <r>
      <rPr>
        <sz val="10"/>
        <color theme="1"/>
        <rFont val="宋体"/>
        <family val="3"/>
        <charset val="134"/>
      </rPr>
      <t>屏蔽门开门码</t>
    </r>
    <r>
      <rPr>
        <sz val="10"/>
        <color theme="1"/>
        <rFont val="Arial"/>
        <family val="2"/>
      </rPr>
      <t>"</t>
    </r>
    <r>
      <rPr>
        <sz val="10"/>
        <color theme="1"/>
        <rFont val="宋体"/>
        <family val="3"/>
        <charset val="134"/>
      </rPr>
      <t>标签页；</t>
    </r>
    <phoneticPr fontId="1" type="noConversion"/>
  </si>
  <si>
    <r>
      <t>ZHKJ-YF-BiTRACON800-PDS-01-1 BiTRACON800</t>
    </r>
    <r>
      <rPr>
        <sz val="10"/>
        <color theme="1"/>
        <rFont val="宋体"/>
        <family val="3"/>
        <charset val="134"/>
      </rPr>
      <t xml:space="preserve">系统关键参数计算
</t>
    </r>
    <r>
      <rPr>
        <sz val="10"/>
        <color theme="1"/>
        <rFont val="Arial"/>
        <family val="2"/>
      </rPr>
      <t>ZHKJ-YF-BiTRACON800-IIDS-03-1 BiTRACON 800</t>
    </r>
    <r>
      <rPr>
        <sz val="10"/>
        <color theme="1"/>
        <rFont val="宋体"/>
        <family val="3"/>
        <charset val="134"/>
      </rPr>
      <t>轨道数据库设计规格书</t>
    </r>
    <phoneticPr fontId="1" type="noConversion"/>
  </si>
  <si>
    <r>
      <t>1.</t>
    </r>
    <r>
      <rPr>
        <sz val="10"/>
        <color theme="1"/>
        <rFont val="宋体"/>
        <family val="3"/>
        <charset val="134"/>
      </rPr>
      <t>删除参数</t>
    </r>
    <r>
      <rPr>
        <sz val="10"/>
        <color theme="1"/>
        <rFont val="Arial"/>
        <family val="2"/>
      </rPr>
      <t>CFG_ERR_STATION_BERTH</t>
    </r>
    <r>
      <rPr>
        <sz val="10"/>
        <color theme="1"/>
        <rFont val="宋体"/>
        <family val="3"/>
        <charset val="134"/>
      </rPr>
      <t>，</t>
    </r>
    <r>
      <rPr>
        <sz val="10"/>
        <color theme="1"/>
        <rFont val="Arial"/>
        <family val="2"/>
      </rPr>
      <t>"</t>
    </r>
    <r>
      <rPr>
        <sz val="10"/>
        <color theme="1"/>
        <rFont val="宋体"/>
        <family val="3"/>
        <charset val="134"/>
      </rPr>
      <t>输入参数表</t>
    </r>
    <r>
      <rPr>
        <sz val="10"/>
        <color theme="1"/>
        <rFont val="Arial"/>
        <family val="2"/>
      </rPr>
      <t>"</t>
    </r>
    <r>
      <rPr>
        <sz val="10"/>
        <color theme="1"/>
        <rFont val="宋体"/>
        <family val="3"/>
        <charset val="134"/>
      </rPr>
      <t xml:space="preserve">中删除参数屏蔽门边界到端门最小距离和车门边界到车钩距离；
</t>
    </r>
    <r>
      <rPr>
        <sz val="10"/>
        <color theme="1"/>
        <rFont val="Arial"/>
        <family val="2"/>
      </rPr>
      <t>2.</t>
    </r>
    <r>
      <rPr>
        <sz val="10"/>
        <color theme="1"/>
        <rFont val="宋体"/>
        <family val="3"/>
        <charset val="134"/>
      </rPr>
      <t>修改“系统进路参数表”中接近区段计算公式，删除进路信息中的“是否跨</t>
    </r>
    <r>
      <rPr>
        <sz val="10"/>
        <color theme="1"/>
        <rFont val="Arial"/>
        <family val="2"/>
      </rPr>
      <t>ZC</t>
    </r>
    <r>
      <rPr>
        <sz val="10"/>
        <color theme="1"/>
        <rFont val="宋体"/>
        <family val="3"/>
        <charset val="134"/>
      </rPr>
      <t>区”配置项；</t>
    </r>
    <phoneticPr fontId="1" type="noConversion"/>
  </si>
  <si>
    <r>
      <t>1.</t>
    </r>
    <r>
      <rPr>
        <sz val="10"/>
        <color theme="1"/>
        <rFont val="宋体"/>
        <family val="3"/>
        <charset val="134"/>
      </rPr>
      <t>将原</t>
    </r>
    <r>
      <rPr>
        <sz val="10"/>
        <color theme="1"/>
        <rFont val="Arial"/>
        <family val="2"/>
      </rPr>
      <t>"</t>
    </r>
    <r>
      <rPr>
        <sz val="10"/>
        <color theme="1"/>
        <rFont val="宋体"/>
        <family val="3"/>
        <charset val="134"/>
      </rPr>
      <t>输入参数表</t>
    </r>
    <r>
      <rPr>
        <sz val="10"/>
        <color theme="1"/>
        <rFont val="Arial"/>
        <family val="2"/>
      </rPr>
      <t>"</t>
    </r>
    <r>
      <rPr>
        <sz val="10"/>
        <color theme="1"/>
        <rFont val="宋体"/>
        <family val="3"/>
        <charset val="134"/>
      </rPr>
      <t xml:space="preserve">拆分为由外部提供的输入参数表和自研系统定义的基本参数表；
</t>
    </r>
    <r>
      <rPr>
        <sz val="10"/>
        <color theme="1"/>
        <rFont val="Arial"/>
        <family val="2"/>
      </rPr>
      <t>2."</t>
    </r>
    <r>
      <rPr>
        <sz val="10"/>
        <color theme="1"/>
        <rFont val="宋体"/>
        <family val="3"/>
        <charset val="134"/>
      </rPr>
      <t>输入</t>
    </r>
    <r>
      <rPr>
        <sz val="10"/>
        <color theme="1"/>
        <rFont val="Arial"/>
        <family val="2"/>
      </rPr>
      <t>-</t>
    </r>
    <r>
      <rPr>
        <sz val="10"/>
        <color theme="1"/>
        <rFont val="宋体"/>
        <family val="3"/>
        <charset val="134"/>
      </rPr>
      <t>车辆参数</t>
    </r>
    <r>
      <rPr>
        <sz val="10"/>
        <color theme="1"/>
        <rFont val="Arial"/>
        <family val="2"/>
      </rPr>
      <t>"</t>
    </r>
    <r>
      <rPr>
        <sz val="10"/>
        <color theme="1"/>
        <rFont val="宋体"/>
        <family val="3"/>
        <charset val="134"/>
      </rPr>
      <t xml:space="preserve">新增多编组混跑线路的数据配置；
</t>
    </r>
    <r>
      <rPr>
        <sz val="10"/>
        <color theme="1"/>
        <rFont val="Arial"/>
        <family val="2"/>
      </rPr>
      <t>3.</t>
    </r>
    <r>
      <rPr>
        <sz val="10"/>
        <color theme="1"/>
        <rFont val="宋体"/>
        <family val="3"/>
        <charset val="134"/>
      </rPr>
      <t>新增输入文档《</t>
    </r>
    <r>
      <rPr>
        <sz val="10"/>
        <color theme="1"/>
        <rFont val="Arial"/>
        <family val="2"/>
      </rPr>
      <t>ZHJD-YF-BiSTAR-RAMS-02-1 BiSTAR</t>
    </r>
    <r>
      <rPr>
        <sz val="10"/>
        <color theme="1"/>
        <rFont val="宋体"/>
        <family val="3"/>
        <charset val="134"/>
      </rPr>
      <t>平台系统安全应用条件》，相关平台</t>
    </r>
    <r>
      <rPr>
        <sz val="10"/>
        <color theme="1"/>
        <rFont val="Arial"/>
        <family val="2"/>
      </rPr>
      <t>HW/SW</t>
    </r>
    <r>
      <rPr>
        <sz val="10"/>
        <color theme="1"/>
        <rFont val="宋体"/>
        <family val="3"/>
        <charset val="134"/>
      </rPr>
      <t xml:space="preserve">延时参数作为自研系统基本参数填写在表中，并修改相应参数计算中的引用；
</t>
    </r>
    <r>
      <rPr>
        <sz val="10"/>
        <color theme="1"/>
        <rFont val="Arial"/>
        <family val="2"/>
      </rPr>
      <t>4.</t>
    </r>
    <r>
      <rPr>
        <sz val="10"/>
        <color theme="1"/>
        <rFont val="宋体"/>
        <family val="3"/>
        <charset val="134"/>
      </rPr>
      <t>依据《</t>
    </r>
    <r>
      <rPr>
        <sz val="10"/>
        <color theme="1"/>
        <rFont val="Arial"/>
        <family val="2"/>
      </rPr>
      <t>ZHKJ-YF-BiTRACON800-PDS-01-1 BiTRACON800</t>
    </r>
    <r>
      <rPr>
        <sz val="10"/>
        <color theme="1"/>
        <rFont val="宋体"/>
        <family val="3"/>
        <charset val="134"/>
      </rPr>
      <t xml:space="preserve">系统关键参数计算》变更进行修改；
</t>
    </r>
    <r>
      <rPr>
        <sz val="10"/>
        <color theme="1"/>
        <rFont val="Arial"/>
        <family val="2"/>
      </rPr>
      <t>5.</t>
    </r>
    <r>
      <rPr>
        <sz val="10"/>
        <color theme="1"/>
        <rFont val="宋体"/>
        <family val="3"/>
        <charset val="134"/>
      </rPr>
      <t xml:space="preserve">将所有单元格引用改为引用名称管理器中定义的名称；
</t>
    </r>
    <r>
      <rPr>
        <sz val="10"/>
        <color theme="1"/>
        <rFont val="Arial"/>
        <family val="2"/>
      </rPr>
      <t>6.</t>
    </r>
    <r>
      <rPr>
        <sz val="10"/>
        <color theme="1"/>
        <rFont val="宋体"/>
        <family val="3"/>
        <charset val="134"/>
      </rPr>
      <t>修改</t>
    </r>
    <r>
      <rPr>
        <sz val="10"/>
        <color theme="1"/>
        <rFont val="Arial"/>
        <family val="2"/>
      </rPr>
      <t>CFG_T_YDROUTE_RELEASE</t>
    </r>
    <r>
      <rPr>
        <sz val="10"/>
        <color theme="1"/>
        <rFont val="宋体"/>
        <family val="3"/>
        <charset val="134"/>
      </rPr>
      <t xml:space="preserve">计算公式；
</t>
    </r>
    <r>
      <rPr>
        <sz val="10"/>
        <color theme="1"/>
        <rFont val="Arial"/>
        <family val="2"/>
      </rPr>
      <t>7.</t>
    </r>
    <r>
      <rPr>
        <sz val="10"/>
        <color theme="1"/>
        <rFont val="宋体"/>
        <family val="3"/>
        <charset val="134"/>
      </rPr>
      <t>系统进路参数的计算过程改为编组</t>
    </r>
    <r>
      <rPr>
        <sz val="10"/>
        <color theme="1"/>
        <rFont val="Arial"/>
        <family val="2"/>
      </rPr>
      <t>1~</t>
    </r>
    <r>
      <rPr>
        <sz val="10"/>
        <color theme="1"/>
        <rFont val="宋体"/>
        <family val="3"/>
        <charset val="134"/>
      </rPr>
      <t>编组</t>
    </r>
    <r>
      <rPr>
        <sz val="10"/>
        <color theme="1"/>
        <rFont val="Arial"/>
        <family val="2"/>
      </rPr>
      <t>5</t>
    </r>
    <r>
      <rPr>
        <sz val="10"/>
        <color theme="1"/>
        <rFont val="宋体"/>
        <family val="3"/>
        <charset val="134"/>
      </rPr>
      <t>各自对应的进路参数表中计算，输出表格中取值取各编组对应的最差情况；</t>
    </r>
    <phoneticPr fontId="1" type="noConversion"/>
  </si>
  <si>
    <r>
      <t>ZHKJ-YF-BiTRACON800-PDS-01-1 BiTRACON800</t>
    </r>
    <r>
      <rPr>
        <sz val="10"/>
        <color theme="1"/>
        <rFont val="宋体"/>
        <family val="3"/>
        <charset val="134"/>
      </rPr>
      <t xml:space="preserve">系统关键参数计算
</t>
    </r>
    <r>
      <rPr>
        <sz val="10"/>
        <color theme="1"/>
        <rFont val="Arial"/>
        <family val="2"/>
      </rPr>
      <t>ZHKJ-YF-BiTRACON800-IIDS-03-1 BiTRACON 800</t>
    </r>
    <r>
      <rPr>
        <sz val="10"/>
        <color theme="1"/>
        <rFont val="宋体"/>
        <family val="3"/>
        <charset val="134"/>
      </rPr>
      <t xml:space="preserve">轨道数据库设计规格书
</t>
    </r>
    <r>
      <rPr>
        <sz val="10"/>
        <color theme="1"/>
        <rFont val="Arial"/>
        <family val="2"/>
      </rPr>
      <t>ZHJD-YF-BiSTAR-RAMS-02-1 BiSTAR</t>
    </r>
    <r>
      <rPr>
        <sz val="10"/>
        <color theme="1"/>
        <rFont val="宋体"/>
        <family val="3"/>
        <charset val="134"/>
      </rPr>
      <t>平台系统安全应用条件</t>
    </r>
    <phoneticPr fontId="1" type="noConversion"/>
  </si>
  <si>
    <r>
      <rPr>
        <sz val="10"/>
        <color theme="1"/>
        <rFont val="宋体"/>
        <family val="3"/>
        <charset val="134"/>
      </rPr>
      <t>依据</t>
    </r>
    <r>
      <rPr>
        <sz val="10"/>
        <color theme="1"/>
        <rFont val="Arial"/>
        <family val="2"/>
      </rPr>
      <t>2.1.4</t>
    </r>
    <r>
      <rPr>
        <sz val="10"/>
        <color theme="1"/>
        <rFont val="宋体"/>
        <family val="3"/>
        <charset val="134"/>
      </rPr>
      <t>版本验证记录：</t>
    </r>
    <r>
      <rPr>
        <sz val="10"/>
        <color theme="1"/>
        <rFont val="Arial"/>
        <family val="2"/>
      </rPr>
      <t xml:space="preserve">
1.</t>
    </r>
    <r>
      <rPr>
        <sz val="10"/>
        <color theme="1"/>
        <rFont val="宋体"/>
        <family val="3"/>
        <charset val="134"/>
      </rPr>
      <t>修正</t>
    </r>
    <r>
      <rPr>
        <sz val="10"/>
        <color theme="1"/>
        <rFont val="Arial"/>
        <family val="2"/>
      </rPr>
      <t>CFG_T_EB_OUT</t>
    </r>
    <r>
      <rPr>
        <sz val="10"/>
        <color theme="1"/>
        <rFont val="宋体"/>
        <family val="3"/>
        <charset val="134"/>
      </rPr>
      <t xml:space="preserve">公式；
</t>
    </r>
    <r>
      <rPr>
        <sz val="10"/>
        <color theme="1"/>
        <rFont val="Arial"/>
        <family val="2"/>
      </rPr>
      <t>2.</t>
    </r>
    <r>
      <rPr>
        <sz val="10"/>
        <color theme="1"/>
        <rFont val="宋体"/>
        <family val="3"/>
        <charset val="134"/>
      </rPr>
      <t>修正</t>
    </r>
    <r>
      <rPr>
        <sz val="10"/>
        <color theme="1"/>
        <rFont val="Arial"/>
        <family val="2"/>
      </rPr>
      <t>CFG_V_MAX_JUMP_DEPOT</t>
    </r>
    <r>
      <rPr>
        <sz val="10"/>
        <color theme="1"/>
        <rFont val="宋体"/>
        <family val="3"/>
        <charset val="134"/>
      </rPr>
      <t xml:space="preserve">公式；
</t>
    </r>
    <r>
      <rPr>
        <sz val="10"/>
        <color theme="1"/>
        <rFont val="Arial"/>
        <family val="2"/>
      </rPr>
      <t>3.</t>
    </r>
    <r>
      <rPr>
        <sz val="10"/>
        <color theme="1"/>
        <rFont val="宋体"/>
        <family val="3"/>
        <charset val="134"/>
      </rPr>
      <t>修正编组</t>
    </r>
    <r>
      <rPr>
        <sz val="10"/>
        <color theme="1"/>
        <rFont val="Arial"/>
        <family val="2"/>
      </rPr>
      <t>1~</t>
    </r>
    <r>
      <rPr>
        <sz val="10"/>
        <color theme="1"/>
        <rFont val="宋体"/>
        <family val="3"/>
        <charset val="134"/>
      </rPr>
      <t>编组</t>
    </r>
    <r>
      <rPr>
        <sz val="10"/>
        <color theme="1"/>
        <rFont val="Arial"/>
        <family val="2"/>
      </rPr>
      <t>5</t>
    </r>
    <r>
      <rPr>
        <sz val="10"/>
        <color theme="1"/>
        <rFont val="宋体"/>
        <family val="3"/>
        <charset val="134"/>
      </rPr>
      <t>系统进路表中引导进路延迟解锁时间计算公式；</t>
    </r>
    <phoneticPr fontId="1" type="noConversion"/>
  </si>
  <si>
    <r>
      <t>1.</t>
    </r>
    <r>
      <rPr>
        <sz val="10"/>
        <color theme="1"/>
        <rFont val="宋体"/>
        <family val="3"/>
        <charset val="134"/>
      </rPr>
      <t>依据问题单</t>
    </r>
    <r>
      <rPr>
        <sz val="10"/>
        <color theme="1"/>
        <rFont val="Arial"/>
        <family val="2"/>
      </rPr>
      <t>DES001080</t>
    </r>
    <r>
      <rPr>
        <sz val="10"/>
        <color theme="1"/>
        <rFont val="宋体"/>
        <family val="3"/>
        <charset val="134"/>
      </rPr>
      <t>，修正通用参数中</t>
    </r>
    <r>
      <rPr>
        <sz val="10"/>
        <color theme="1"/>
        <rFont val="Arial"/>
        <family val="2"/>
      </rPr>
      <t>CFG_L_MAX_MAL_ON_OVERLAP</t>
    </r>
    <r>
      <rPr>
        <sz val="10"/>
        <color theme="1"/>
        <rFont val="宋体"/>
        <family val="3"/>
        <charset val="134"/>
      </rPr>
      <t>和</t>
    </r>
    <r>
      <rPr>
        <sz val="10"/>
        <color theme="1"/>
        <rFont val="Arial"/>
        <family val="2"/>
      </rPr>
      <t>CFG_L_MIN_MAL_ON_OVERLAP</t>
    </r>
    <r>
      <rPr>
        <sz val="10"/>
        <color theme="1"/>
        <rFont val="宋体"/>
        <family val="3"/>
        <charset val="134"/>
      </rPr>
      <t>计算公式中站台坡度引用计算的错误，需除以</t>
    </r>
    <r>
      <rPr>
        <sz val="10"/>
        <color theme="1"/>
        <rFont val="Arial"/>
        <family val="2"/>
      </rPr>
      <t>1000</t>
    </r>
    <r>
      <rPr>
        <sz val="10"/>
        <color theme="1"/>
        <rFont val="宋体"/>
        <family val="3"/>
        <charset val="134"/>
      </rPr>
      <t>；</t>
    </r>
    <phoneticPr fontId="1" type="noConversion"/>
  </si>
  <si>
    <r>
      <rPr>
        <sz val="10"/>
        <color theme="1"/>
        <rFont val="宋体"/>
        <family val="3"/>
        <charset val="134"/>
      </rPr>
      <t xml:space="preserve">签批单号：
</t>
    </r>
    <r>
      <rPr>
        <sz val="10"/>
        <color theme="1"/>
        <rFont val="Arial"/>
        <family val="2"/>
      </rPr>
      <t>QP001293</t>
    </r>
    <phoneticPr fontId="1" type="noConversion"/>
  </si>
  <si>
    <r>
      <t>1.</t>
    </r>
    <r>
      <rPr>
        <sz val="10"/>
        <color theme="1"/>
        <rFont val="宋体"/>
        <family val="3"/>
        <charset val="134"/>
      </rPr>
      <t xml:space="preserve">各进路表中参数不作为名称管理器内容使用，修改为单元格引用；
</t>
    </r>
    <r>
      <rPr>
        <sz val="10"/>
        <color theme="1"/>
        <rFont val="Arial"/>
        <family val="2"/>
      </rPr>
      <t>2.“</t>
    </r>
    <r>
      <rPr>
        <sz val="10"/>
        <color theme="1"/>
        <rFont val="宋体"/>
        <family val="3"/>
        <charset val="134"/>
      </rPr>
      <t>输出</t>
    </r>
    <r>
      <rPr>
        <sz val="10"/>
        <color theme="1"/>
        <rFont val="Arial"/>
        <family val="2"/>
      </rPr>
      <t>-</t>
    </r>
    <r>
      <rPr>
        <sz val="10"/>
        <color theme="1"/>
        <rFont val="宋体"/>
        <family val="3"/>
        <charset val="134"/>
      </rPr>
      <t>系统进路参数</t>
    </r>
    <r>
      <rPr>
        <sz val="10"/>
        <color theme="1"/>
        <rFont val="Arial"/>
        <family val="2"/>
      </rPr>
      <t>”</t>
    </r>
    <r>
      <rPr>
        <sz val="10"/>
        <color theme="1"/>
        <rFont val="宋体"/>
        <family val="3"/>
        <charset val="134"/>
      </rPr>
      <t>标签页</t>
    </r>
    <r>
      <rPr>
        <sz val="10"/>
        <color theme="1"/>
        <rFont val="Arial"/>
        <family val="2"/>
      </rPr>
      <t>"</t>
    </r>
    <r>
      <rPr>
        <sz val="10"/>
        <color theme="1"/>
        <rFont val="宋体"/>
        <family val="3"/>
        <charset val="134"/>
      </rPr>
      <t>点式车地通信方式</t>
    </r>
    <r>
      <rPr>
        <sz val="10"/>
        <color theme="1"/>
        <rFont val="Arial"/>
        <family val="2"/>
      </rPr>
      <t>"</t>
    </r>
    <r>
      <rPr>
        <sz val="10"/>
        <color theme="1"/>
        <rFont val="宋体"/>
        <family val="3"/>
        <charset val="134"/>
      </rPr>
      <t>参数增加</t>
    </r>
    <r>
      <rPr>
        <sz val="10"/>
        <color theme="1"/>
        <rFont val="Arial"/>
        <family val="2"/>
      </rPr>
      <t>"N/A"</t>
    </r>
    <r>
      <rPr>
        <sz val="10"/>
        <color theme="1"/>
        <rFont val="宋体"/>
        <family val="3"/>
        <charset val="134"/>
      </rPr>
      <t xml:space="preserve">属性值；
</t>
    </r>
    <r>
      <rPr>
        <sz val="10"/>
        <color theme="1"/>
        <rFont val="Arial"/>
        <family val="2"/>
      </rPr>
      <t>3.</t>
    </r>
    <r>
      <rPr>
        <sz val="10"/>
        <color theme="1"/>
        <rFont val="宋体"/>
        <family val="3"/>
        <charset val="134"/>
      </rPr>
      <t>对于无预告</t>
    </r>
    <r>
      <rPr>
        <sz val="10"/>
        <color theme="1"/>
        <rFont val="Arial"/>
        <family val="2"/>
      </rPr>
      <t>/</t>
    </r>
    <r>
      <rPr>
        <sz val="10"/>
        <color theme="1"/>
        <rFont val="宋体"/>
        <family val="3"/>
        <charset val="134"/>
      </rPr>
      <t>接近信标的进路，参考大铁标准，设置</t>
    </r>
    <r>
      <rPr>
        <sz val="10"/>
        <color theme="1"/>
        <rFont val="Arial"/>
        <family val="2"/>
      </rPr>
      <t>180s</t>
    </r>
    <r>
      <rPr>
        <sz val="10"/>
        <color theme="1"/>
        <rFont val="宋体"/>
        <family val="3"/>
        <charset val="134"/>
      </rPr>
      <t>总人解时间；</t>
    </r>
    <phoneticPr fontId="1" type="noConversion"/>
  </si>
  <si>
    <r>
      <t>1.BiSTAR</t>
    </r>
    <r>
      <rPr>
        <sz val="10"/>
        <color theme="1"/>
        <rFont val="宋体"/>
        <family val="3"/>
        <charset val="134"/>
      </rPr>
      <t>平台系统安全应用条件更新为</t>
    </r>
    <r>
      <rPr>
        <sz val="10"/>
        <color theme="1"/>
        <rFont val="Arial"/>
        <family val="2"/>
      </rPr>
      <t>1.11</t>
    </r>
    <r>
      <rPr>
        <sz val="10"/>
        <color theme="1"/>
        <rFont val="宋体"/>
        <family val="3"/>
        <charset val="134"/>
      </rPr>
      <t>；</t>
    </r>
    <r>
      <rPr>
        <sz val="10"/>
        <color theme="1"/>
        <rFont val="Arial"/>
        <family val="2"/>
      </rPr>
      <t xml:space="preserve">
2.</t>
    </r>
    <r>
      <rPr>
        <sz val="10"/>
        <color theme="1"/>
        <rFont val="宋体"/>
        <family val="3"/>
        <charset val="134"/>
      </rPr>
      <t>“输入</t>
    </r>
    <r>
      <rPr>
        <sz val="10"/>
        <color theme="1"/>
        <rFont val="Arial"/>
        <family val="2"/>
      </rPr>
      <t>-</t>
    </r>
    <r>
      <rPr>
        <sz val="10"/>
        <color theme="1"/>
        <rFont val="宋体"/>
        <family val="3"/>
        <charset val="134"/>
      </rPr>
      <t>系统基本参数”参数“</t>
    </r>
    <r>
      <rPr>
        <sz val="10"/>
        <color theme="1"/>
        <rFont val="Arial"/>
        <family val="2"/>
      </rPr>
      <t>CC</t>
    </r>
    <r>
      <rPr>
        <sz val="10"/>
        <color theme="1"/>
        <rFont val="宋体"/>
        <family val="3"/>
        <charset val="134"/>
      </rPr>
      <t>子系统对应答器</t>
    </r>
    <r>
      <rPr>
        <sz val="10"/>
        <color theme="1"/>
        <rFont val="Arial"/>
        <family val="2"/>
      </rPr>
      <t>/</t>
    </r>
    <r>
      <rPr>
        <sz val="10"/>
        <color theme="1"/>
        <rFont val="宋体"/>
        <family val="3"/>
        <charset val="134"/>
      </rPr>
      <t>信标查询主机报文接收的最大延迟时间”修改为“列车经过信标到业务收到信标报文数据的最大延迟”，引用平台系统安全应用条件，默认为</t>
    </r>
    <r>
      <rPr>
        <sz val="10"/>
        <color theme="1"/>
        <rFont val="Arial"/>
        <family val="2"/>
      </rPr>
      <t>1s</t>
    </r>
    <r>
      <rPr>
        <sz val="10"/>
        <color theme="1"/>
        <rFont val="宋体"/>
        <family val="3"/>
        <charset val="134"/>
      </rPr>
      <t xml:space="preserve">时间；
</t>
    </r>
    <r>
      <rPr>
        <sz val="10"/>
        <color theme="1"/>
        <rFont val="Arial"/>
        <family val="2"/>
      </rPr>
      <t>3.</t>
    </r>
    <r>
      <rPr>
        <sz val="10"/>
        <color theme="1"/>
        <rFont val="宋体"/>
        <family val="3"/>
        <charset val="134"/>
      </rPr>
      <t>删除“输入</t>
    </r>
    <r>
      <rPr>
        <sz val="10"/>
        <color theme="1"/>
        <rFont val="Arial"/>
        <family val="2"/>
      </rPr>
      <t>-</t>
    </r>
    <r>
      <rPr>
        <sz val="10"/>
        <color theme="1"/>
        <rFont val="宋体"/>
        <family val="3"/>
        <charset val="134"/>
      </rPr>
      <t>设备及线路参数”中“</t>
    </r>
    <r>
      <rPr>
        <sz val="10"/>
        <color theme="1"/>
        <rFont val="Arial"/>
        <family val="2"/>
      </rPr>
      <t>Equ_BTMReadDelay</t>
    </r>
    <r>
      <rPr>
        <sz val="10"/>
        <color theme="1"/>
        <rFont val="宋体"/>
        <family val="3"/>
        <charset val="134"/>
      </rPr>
      <t xml:space="preserve">”参数，该时间在“列车经过信标到业务收到信标报文数据的最大延迟”中已涵盖；
</t>
    </r>
    <r>
      <rPr>
        <sz val="10"/>
        <color theme="1"/>
        <rFont val="Arial"/>
        <family val="2"/>
      </rPr>
      <t>4.</t>
    </r>
    <r>
      <rPr>
        <sz val="10"/>
        <color theme="1"/>
        <rFont val="宋体"/>
        <family val="3"/>
        <charset val="134"/>
      </rPr>
      <t>修改“输出</t>
    </r>
    <r>
      <rPr>
        <sz val="10"/>
        <color theme="1"/>
        <rFont val="Arial"/>
        <family val="2"/>
      </rPr>
      <t>-</t>
    </r>
    <r>
      <rPr>
        <sz val="10"/>
        <color theme="1"/>
        <rFont val="宋体"/>
        <family val="3"/>
        <charset val="134"/>
      </rPr>
      <t xml:space="preserve">系统进路参数”标签页中“最大接近限速”为“接近限速”，说明在配置说明见该参数批注；
</t>
    </r>
    <r>
      <rPr>
        <sz val="10"/>
        <color theme="1"/>
        <rFont val="Arial"/>
        <family val="2"/>
      </rPr>
      <t>5.</t>
    </r>
    <r>
      <rPr>
        <sz val="10"/>
        <color theme="1"/>
        <rFont val="宋体"/>
        <family val="3"/>
        <charset val="134"/>
      </rPr>
      <t>根据关键参数文档更新，修改</t>
    </r>
    <r>
      <rPr>
        <sz val="10"/>
        <color theme="1"/>
        <rFont val="Arial"/>
        <family val="2"/>
      </rPr>
      <t>5</t>
    </r>
    <r>
      <rPr>
        <sz val="10"/>
        <color theme="1"/>
        <rFont val="宋体"/>
        <family val="3"/>
        <charset val="134"/>
      </rPr>
      <t>个编组对应系统进路表中接近区段长度的计算公式；</t>
    </r>
    <phoneticPr fontId="1" type="noConversion"/>
  </si>
  <si>
    <r>
      <rPr>
        <sz val="10"/>
        <rFont val="宋体"/>
        <family val="3"/>
        <charset val="134"/>
      </rPr>
      <t>接近限速</t>
    </r>
    <r>
      <rPr>
        <sz val="10"/>
        <rFont val="Arial"/>
        <family val="2"/>
      </rPr>
      <t>km/h</t>
    </r>
    <phoneticPr fontId="1" type="noConversion"/>
  </si>
  <si>
    <r>
      <rPr>
        <sz val="10"/>
        <rFont val="宋体"/>
        <family val="3"/>
        <charset val="134"/>
      </rPr>
      <t>预告信标</t>
    </r>
    <r>
      <rPr>
        <sz val="10"/>
        <rFont val="Arial"/>
        <family val="2"/>
      </rPr>
      <t>/</t>
    </r>
    <r>
      <rPr>
        <sz val="10"/>
        <rFont val="宋体"/>
        <family val="3"/>
        <charset val="134"/>
      </rPr>
      <t>环线到计轴距离</t>
    </r>
    <r>
      <rPr>
        <sz val="10"/>
        <rFont val="Arial"/>
        <family val="2"/>
      </rPr>
      <t>m</t>
    </r>
    <phoneticPr fontId="9" type="noConversion"/>
  </si>
  <si>
    <t>500</t>
    <phoneticPr fontId="9" type="noConversion"/>
  </si>
  <si>
    <t>V2.3.3</t>
    <phoneticPr fontId="1" type="noConversion"/>
  </si>
  <si>
    <t>高晓菲</t>
    <phoneticPr fontId="1" type="noConversion"/>
  </si>
  <si>
    <t>“输出-系统通用参数”标签页中绿色底色表格为车辆编组影响项参数</t>
    <phoneticPr fontId="1" type="noConversion"/>
  </si>
  <si>
    <r>
      <t>1.</t>
    </r>
    <r>
      <rPr>
        <sz val="10"/>
        <color theme="1"/>
        <rFont val="宋体"/>
        <family val="3"/>
        <charset val="134"/>
      </rPr>
      <t>修改“说明页”标签页的的描述</t>
    </r>
    <r>
      <rPr>
        <sz val="10"/>
        <color theme="1"/>
        <rFont val="Arial"/>
        <family val="2"/>
      </rPr>
      <t>1</t>
    </r>
    <r>
      <rPr>
        <sz val="10"/>
        <color theme="1"/>
        <rFont val="宋体"/>
        <family val="3"/>
        <charset val="134"/>
      </rPr>
      <t>，增加描述</t>
    </r>
    <r>
      <rPr>
        <sz val="10"/>
        <color theme="1"/>
        <rFont val="Arial"/>
        <family val="2"/>
      </rPr>
      <t>3</t>
    </r>
    <r>
      <rPr>
        <sz val="10"/>
        <color theme="1"/>
        <rFont val="宋体"/>
        <family val="3"/>
        <charset val="134"/>
      </rPr>
      <t>；</t>
    </r>
    <r>
      <rPr>
        <sz val="10"/>
        <color theme="1"/>
        <rFont val="Arial"/>
        <family val="2"/>
      </rPr>
      <t xml:space="preserve">
2.</t>
    </r>
    <r>
      <rPr>
        <sz val="10"/>
        <color theme="1"/>
        <rFont val="宋体"/>
        <family val="3"/>
        <charset val="134"/>
      </rPr>
      <t>将“输出</t>
    </r>
    <r>
      <rPr>
        <sz val="10"/>
        <color theme="1"/>
        <rFont val="Arial"/>
        <family val="2"/>
      </rPr>
      <t>-</t>
    </r>
    <r>
      <rPr>
        <sz val="10"/>
        <color theme="1"/>
        <rFont val="宋体"/>
        <family val="3"/>
        <charset val="134"/>
      </rPr>
      <t>系统进路参数”、“编组</t>
    </r>
    <r>
      <rPr>
        <sz val="10"/>
        <color theme="1"/>
        <rFont val="Arial"/>
        <family val="2"/>
      </rPr>
      <t>1-</t>
    </r>
    <r>
      <rPr>
        <sz val="10"/>
        <color theme="1"/>
        <rFont val="宋体"/>
        <family val="3"/>
        <charset val="134"/>
      </rPr>
      <t>系统进路表”、“编组</t>
    </r>
    <r>
      <rPr>
        <sz val="10"/>
        <color theme="1"/>
        <rFont val="Arial"/>
        <family val="2"/>
      </rPr>
      <t>2-</t>
    </r>
    <r>
      <rPr>
        <sz val="10"/>
        <color theme="1"/>
        <rFont val="宋体"/>
        <family val="3"/>
        <charset val="134"/>
      </rPr>
      <t>系统进路表”、“编组</t>
    </r>
    <r>
      <rPr>
        <sz val="10"/>
        <color theme="1"/>
        <rFont val="Arial"/>
        <family val="2"/>
      </rPr>
      <t>3-</t>
    </r>
    <r>
      <rPr>
        <sz val="10"/>
        <color theme="1"/>
        <rFont val="宋体"/>
        <family val="3"/>
        <charset val="134"/>
      </rPr>
      <t>系统进路表”、“编组</t>
    </r>
    <r>
      <rPr>
        <sz val="10"/>
        <color theme="1"/>
        <rFont val="Arial"/>
        <family val="2"/>
      </rPr>
      <t>4-</t>
    </r>
    <r>
      <rPr>
        <sz val="10"/>
        <color theme="1"/>
        <rFont val="宋体"/>
        <family val="3"/>
        <charset val="134"/>
      </rPr>
      <t>系统进路表”、“编组</t>
    </r>
    <r>
      <rPr>
        <sz val="10"/>
        <color theme="1"/>
        <rFont val="Arial"/>
        <family val="2"/>
      </rPr>
      <t>5-</t>
    </r>
    <r>
      <rPr>
        <sz val="10"/>
        <color theme="1"/>
        <rFont val="宋体"/>
        <family val="3"/>
        <charset val="134"/>
      </rPr>
      <t>系统进路表”相关进路条数扩容至</t>
    </r>
    <r>
      <rPr>
        <sz val="10"/>
        <color theme="1"/>
        <rFont val="Arial"/>
        <family val="2"/>
      </rPr>
      <t>600</t>
    </r>
    <r>
      <rPr>
        <sz val="10"/>
        <color theme="1"/>
        <rFont val="宋体"/>
        <family val="3"/>
        <charset val="134"/>
      </rPr>
      <t xml:space="preserve">条；
</t>
    </r>
    <r>
      <rPr>
        <sz val="10"/>
        <color theme="1"/>
        <rFont val="Arial"/>
        <family val="2"/>
      </rPr>
      <t>3.</t>
    </r>
    <r>
      <rPr>
        <sz val="10"/>
        <color theme="1"/>
        <rFont val="宋体"/>
        <family val="3"/>
        <charset val="134"/>
      </rPr>
      <t>依据《</t>
    </r>
    <r>
      <rPr>
        <sz val="10"/>
        <color theme="1"/>
        <rFont val="Arial"/>
        <family val="2"/>
      </rPr>
      <t>BiTRACON 800</t>
    </r>
    <r>
      <rPr>
        <sz val="10"/>
        <color theme="1"/>
        <rFont val="宋体"/>
        <family val="3"/>
        <charset val="134"/>
      </rPr>
      <t>系统数据设计模板</t>
    </r>
    <r>
      <rPr>
        <sz val="10"/>
        <color theme="1"/>
        <rFont val="Arial"/>
        <family val="2"/>
      </rPr>
      <t>_</t>
    </r>
    <r>
      <rPr>
        <sz val="10"/>
        <color theme="1"/>
        <rFont val="宋体"/>
        <family val="3"/>
        <charset val="134"/>
      </rPr>
      <t>验证报告</t>
    </r>
    <r>
      <rPr>
        <sz val="10"/>
        <color theme="1"/>
        <rFont val="Arial"/>
        <family val="2"/>
      </rPr>
      <t>_v2.1.7</t>
    </r>
    <r>
      <rPr>
        <sz val="10"/>
        <color theme="1"/>
        <rFont val="宋体"/>
        <family val="3"/>
        <charset val="134"/>
      </rPr>
      <t>（</t>
    </r>
    <r>
      <rPr>
        <sz val="10"/>
        <color theme="1"/>
        <rFont val="Arial"/>
        <family val="2"/>
      </rPr>
      <t>on v2.3.2</t>
    </r>
    <r>
      <rPr>
        <sz val="10"/>
        <color theme="1"/>
        <rFont val="宋体"/>
        <family val="3"/>
        <charset val="134"/>
      </rPr>
      <t>）》，对“输出</t>
    </r>
    <r>
      <rPr>
        <sz val="10"/>
        <color theme="1"/>
        <rFont val="Arial"/>
        <family val="2"/>
      </rPr>
      <t>-</t>
    </r>
    <r>
      <rPr>
        <sz val="10"/>
        <color theme="1"/>
        <rFont val="宋体"/>
        <family val="3"/>
        <charset val="134"/>
      </rPr>
      <t xml:space="preserve">系统进路参数”标签页中“接近限速”列增加批注说明：取预告信标上游第一个计轴点到下游信号机区间的最大限速，当计算接近区段长度比该计轴点与进路始端信号机处计轴点间距离长，取上游第二个计轴点，以此类推；（验证问题通过对数据输入的限制约束间接实现）
</t>
    </r>
    <r>
      <rPr>
        <sz val="10"/>
        <color theme="1"/>
        <rFont val="Arial"/>
        <family val="2"/>
      </rPr>
      <t>4.</t>
    </r>
    <r>
      <rPr>
        <sz val="10"/>
        <color theme="1"/>
        <rFont val="宋体"/>
        <family val="3"/>
        <charset val="134"/>
      </rPr>
      <t>根据系统关键参数计算文件修改</t>
    </r>
    <r>
      <rPr>
        <sz val="10"/>
        <color theme="1"/>
        <rFont val="Arial"/>
        <family val="2"/>
      </rPr>
      <t>CFG_T_ROUTE_VALID_DMC</t>
    </r>
    <r>
      <rPr>
        <sz val="10"/>
        <color theme="1"/>
        <rFont val="宋体"/>
        <family val="3"/>
        <charset val="134"/>
      </rPr>
      <t>以及</t>
    </r>
    <r>
      <rPr>
        <sz val="10"/>
        <color theme="1"/>
        <rFont val="Arial"/>
        <family val="2"/>
      </rPr>
      <t>CFG_T_ROUTE_VALID_IMC</t>
    </r>
    <r>
      <rPr>
        <sz val="10"/>
        <color theme="1"/>
        <rFont val="宋体"/>
        <family val="3"/>
        <charset val="134"/>
      </rPr>
      <t>的计算公式，按照“取不小于</t>
    </r>
    <r>
      <rPr>
        <sz val="10"/>
        <color theme="1"/>
        <rFont val="Arial"/>
        <family val="2"/>
      </rPr>
      <t>Min</t>
    </r>
    <r>
      <rPr>
        <sz val="10"/>
        <color theme="1"/>
        <rFont val="宋体"/>
        <family val="3"/>
        <charset val="134"/>
      </rPr>
      <t>值的以</t>
    </r>
    <r>
      <rPr>
        <sz val="10"/>
        <color theme="1"/>
        <rFont val="Arial"/>
        <family val="2"/>
      </rPr>
      <t>10000ms</t>
    </r>
    <r>
      <rPr>
        <sz val="10"/>
        <color theme="1"/>
        <rFont val="宋体"/>
        <family val="3"/>
        <charset val="134"/>
      </rPr>
      <t xml:space="preserve">为单位的最小整数”处理；
</t>
    </r>
    <r>
      <rPr>
        <sz val="10"/>
        <color theme="1"/>
        <rFont val="Arial"/>
        <family val="2"/>
      </rPr>
      <t>5.</t>
    </r>
    <r>
      <rPr>
        <sz val="10"/>
        <color theme="1"/>
        <rFont val="宋体"/>
        <family val="3"/>
        <charset val="134"/>
      </rPr>
      <t>因文本格式比较公式特殊性，修改所有子表中计算过程中用到比较公式的公式表达，计算公式中通过将比较值前加</t>
    </r>
    <r>
      <rPr>
        <sz val="10"/>
        <color theme="1"/>
        <rFont val="Arial"/>
        <family val="2"/>
      </rPr>
      <t>VALUE</t>
    </r>
    <r>
      <rPr>
        <sz val="10"/>
        <color theme="1"/>
        <rFont val="宋体"/>
        <family val="3"/>
        <charset val="134"/>
      </rPr>
      <t xml:space="preserve">的方式，将代表数值的文本字符串转化为数值后再参与计算；
</t>
    </r>
    <phoneticPr fontId="1" type="noConversion"/>
  </si>
  <si>
    <t>BiTRACON800系统应用数据设计模板</t>
    <phoneticPr fontId="1" type="noConversion"/>
  </si>
  <si>
    <t>ZHKJ-YF-BiTRACON800-PDS-02-1</t>
    <phoneticPr fontId="1" type="noConversion"/>
  </si>
  <si>
    <t>1600</t>
    <phoneticPr fontId="1" type="noConversion"/>
  </si>
  <si>
    <t>1000</t>
    <phoneticPr fontId="1" type="noConversion"/>
  </si>
  <si>
    <t>多普勒雷达报文发送周期</t>
    <phoneticPr fontId="1" type="noConversion"/>
  </si>
  <si>
    <t>V2.3.4</t>
    <phoneticPr fontId="1" type="noConversion"/>
  </si>
  <si>
    <t>510</t>
    <phoneticPr fontId="9" type="noConversion"/>
  </si>
  <si>
    <t>信标供货方</t>
    <phoneticPr fontId="9" type="noConversion"/>
  </si>
  <si>
    <t>300</t>
    <phoneticPr fontId="9" type="noConversion"/>
  </si>
  <si>
    <t>150</t>
    <phoneticPr fontId="9" type="noConversion"/>
  </si>
  <si>
    <t>Conf_Cbi2CcCycle</t>
    <phoneticPr fontId="9" type="noConversion"/>
  </si>
  <si>
    <t>Conf_Zc2AtsCycle</t>
    <phoneticPr fontId="9" type="noConversion"/>
  </si>
  <si>
    <r>
      <t>1.</t>
    </r>
    <r>
      <rPr>
        <sz val="10"/>
        <color theme="1"/>
        <rFont val="宋体"/>
        <family val="3"/>
        <charset val="134"/>
      </rPr>
      <t>删除“输入</t>
    </r>
    <r>
      <rPr>
        <sz val="10"/>
        <color theme="1"/>
        <rFont val="Arial"/>
        <family val="2"/>
      </rPr>
      <t>-</t>
    </r>
    <r>
      <rPr>
        <sz val="10"/>
        <color theme="1"/>
        <rFont val="宋体"/>
        <family val="3"/>
        <charset val="134"/>
      </rPr>
      <t>设备及线路参数”标签页中的</t>
    </r>
    <r>
      <rPr>
        <sz val="10"/>
        <color theme="1"/>
        <rFont val="Arial"/>
        <family val="2"/>
      </rPr>
      <t>Equ_LeuCollectDelay</t>
    </r>
    <r>
      <rPr>
        <sz val="10"/>
        <color theme="1"/>
        <rFont val="宋体"/>
        <family val="3"/>
        <charset val="134"/>
      </rPr>
      <t>，并将</t>
    </r>
    <r>
      <rPr>
        <sz val="10"/>
        <color theme="1"/>
        <rFont val="Arial"/>
        <family val="2"/>
      </rPr>
      <t>Equ_LeuWriteDelay</t>
    </r>
    <r>
      <rPr>
        <sz val="10"/>
        <color theme="1"/>
        <rFont val="宋体"/>
        <family val="3"/>
        <charset val="134"/>
      </rPr>
      <t>名称修改为</t>
    </r>
    <r>
      <rPr>
        <sz val="10"/>
        <color theme="1"/>
        <rFont val="Arial"/>
        <family val="2"/>
      </rPr>
      <t>Equ_BeaconWriteDelay</t>
    </r>
    <r>
      <rPr>
        <sz val="10"/>
        <color theme="1"/>
        <rFont val="宋体"/>
        <family val="3"/>
        <charset val="134"/>
      </rPr>
      <t xml:space="preserve">，将美标和欧标通过同一个参数表示，在备注列中说明针对美标和欧标的填写要求。
</t>
    </r>
    <r>
      <rPr>
        <sz val="10"/>
        <color theme="1"/>
        <rFont val="Arial"/>
        <family val="2"/>
      </rPr>
      <t>2.</t>
    </r>
    <r>
      <rPr>
        <sz val="10"/>
        <color theme="1"/>
        <rFont val="宋体"/>
        <family val="3"/>
        <charset val="134"/>
      </rPr>
      <t>将</t>
    </r>
    <r>
      <rPr>
        <sz val="10"/>
        <color theme="1"/>
        <rFont val="Arial"/>
        <family val="2"/>
      </rPr>
      <t>“</t>
    </r>
    <r>
      <rPr>
        <sz val="10"/>
        <color theme="1"/>
        <rFont val="宋体"/>
        <family val="3"/>
        <charset val="134"/>
      </rPr>
      <t>输出</t>
    </r>
    <r>
      <rPr>
        <sz val="10"/>
        <color theme="1"/>
        <rFont val="Arial"/>
        <family val="2"/>
      </rPr>
      <t>-</t>
    </r>
    <r>
      <rPr>
        <sz val="10"/>
        <color theme="1"/>
        <rFont val="宋体"/>
        <family val="3"/>
        <charset val="134"/>
      </rPr>
      <t>系统进路参数</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编组</t>
    </r>
    <r>
      <rPr>
        <sz val="10"/>
        <color theme="1"/>
        <rFont val="Arial"/>
        <family val="2"/>
      </rPr>
      <t>1-</t>
    </r>
    <r>
      <rPr>
        <sz val="10"/>
        <color theme="1"/>
        <rFont val="宋体"/>
        <family val="3"/>
        <charset val="134"/>
      </rPr>
      <t>系统进路表</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编组</t>
    </r>
    <r>
      <rPr>
        <sz val="10"/>
        <color theme="1"/>
        <rFont val="Arial"/>
        <family val="2"/>
      </rPr>
      <t>2-</t>
    </r>
    <r>
      <rPr>
        <sz val="10"/>
        <color theme="1"/>
        <rFont val="宋体"/>
        <family val="3"/>
        <charset val="134"/>
      </rPr>
      <t>系统进路表</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编组</t>
    </r>
    <r>
      <rPr>
        <sz val="10"/>
        <color theme="1"/>
        <rFont val="Arial"/>
        <family val="2"/>
      </rPr>
      <t>3-</t>
    </r>
    <r>
      <rPr>
        <sz val="10"/>
        <color theme="1"/>
        <rFont val="宋体"/>
        <family val="3"/>
        <charset val="134"/>
      </rPr>
      <t>系统进路表</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编组</t>
    </r>
    <r>
      <rPr>
        <sz val="10"/>
        <color theme="1"/>
        <rFont val="Arial"/>
        <family val="2"/>
      </rPr>
      <t>4-</t>
    </r>
    <r>
      <rPr>
        <sz val="10"/>
        <color theme="1"/>
        <rFont val="宋体"/>
        <family val="3"/>
        <charset val="134"/>
      </rPr>
      <t>系统进路表</t>
    </r>
    <r>
      <rPr>
        <sz val="10"/>
        <color theme="1"/>
        <rFont val="Arial"/>
        <family val="2"/>
      </rPr>
      <t>”</t>
    </r>
    <r>
      <rPr>
        <sz val="10"/>
        <color theme="1"/>
        <rFont val="宋体"/>
        <family val="3"/>
        <charset val="134"/>
      </rPr>
      <t>、</t>
    </r>
    <r>
      <rPr>
        <sz val="10"/>
        <color theme="1"/>
        <rFont val="Arial"/>
        <family val="2"/>
      </rPr>
      <t>“</t>
    </r>
    <r>
      <rPr>
        <sz val="10"/>
        <color theme="1"/>
        <rFont val="宋体"/>
        <family val="3"/>
        <charset val="134"/>
      </rPr>
      <t>编组</t>
    </r>
    <r>
      <rPr>
        <sz val="10"/>
        <color theme="1"/>
        <rFont val="Arial"/>
        <family val="2"/>
      </rPr>
      <t>5-</t>
    </r>
    <r>
      <rPr>
        <sz val="10"/>
        <color theme="1"/>
        <rFont val="宋体"/>
        <family val="3"/>
        <charset val="134"/>
      </rPr>
      <t>系统进路表</t>
    </r>
    <r>
      <rPr>
        <sz val="10"/>
        <color theme="1"/>
        <rFont val="Arial"/>
        <family val="2"/>
      </rPr>
      <t>”</t>
    </r>
    <r>
      <rPr>
        <sz val="10"/>
        <color theme="1"/>
        <rFont val="宋体"/>
        <family val="3"/>
        <charset val="134"/>
      </rPr>
      <t xml:space="preserve">中接近区段的计算公式中增加预告信标的读取旁瓣误差以及信标安装误差。
</t>
    </r>
    <r>
      <rPr>
        <sz val="10"/>
        <color theme="1"/>
        <rFont val="Arial"/>
        <family val="2"/>
      </rPr>
      <t>3.</t>
    </r>
    <r>
      <rPr>
        <sz val="10"/>
        <color theme="1"/>
        <rFont val="宋体"/>
        <family val="3"/>
        <charset val="134"/>
      </rPr>
      <t>根据</t>
    </r>
    <r>
      <rPr>
        <sz val="10"/>
        <color theme="1"/>
        <rFont val="Arial"/>
        <family val="2"/>
      </rPr>
      <t>V2.7</t>
    </r>
    <r>
      <rPr>
        <sz val="10"/>
        <color theme="1"/>
        <rFont val="宋体"/>
        <family val="3"/>
        <charset val="134"/>
      </rPr>
      <t>版本的《</t>
    </r>
    <r>
      <rPr>
        <sz val="10"/>
        <color theme="1"/>
        <rFont val="Arial"/>
        <family val="2"/>
      </rPr>
      <t>ZHKJ-YF-BiTRACON800-IIDS-01-1 BiTRACON 800</t>
    </r>
    <r>
      <rPr>
        <sz val="10"/>
        <color theme="1"/>
        <rFont val="宋体"/>
        <family val="3"/>
        <charset val="134"/>
      </rPr>
      <t>系统内部接口规格书》，修改“输入</t>
    </r>
    <r>
      <rPr>
        <sz val="10"/>
        <color theme="1"/>
        <rFont val="Arial"/>
        <family val="2"/>
      </rPr>
      <t>-</t>
    </r>
    <r>
      <rPr>
        <sz val="10"/>
        <color theme="1"/>
        <rFont val="宋体"/>
        <family val="3"/>
        <charset val="134"/>
      </rPr>
      <t>系统基本参数”标签页</t>
    </r>
    <r>
      <rPr>
        <sz val="10"/>
        <color theme="1"/>
        <rFont val="Arial"/>
        <family val="2"/>
      </rPr>
      <t>Conf_Cbi2CcCycle</t>
    </r>
    <r>
      <rPr>
        <sz val="10"/>
        <color theme="1"/>
        <rFont val="宋体"/>
        <family val="3"/>
        <charset val="134"/>
      </rPr>
      <t>和</t>
    </r>
    <r>
      <rPr>
        <sz val="10"/>
        <color theme="1"/>
        <rFont val="Arial"/>
        <family val="2"/>
      </rPr>
      <t>Conf_Zc2AtsCycle</t>
    </r>
    <r>
      <rPr>
        <sz val="10"/>
        <color theme="1"/>
        <rFont val="宋体"/>
        <family val="3"/>
        <charset val="134"/>
      </rPr>
      <t>配置值，并针对</t>
    </r>
    <r>
      <rPr>
        <sz val="10"/>
        <color theme="1"/>
        <rFont val="Arial"/>
        <family val="2"/>
      </rPr>
      <t>Conf_Cbi2CcCycle</t>
    </r>
    <r>
      <rPr>
        <sz val="10"/>
        <color theme="1"/>
        <rFont val="宋体"/>
        <family val="3"/>
        <charset val="134"/>
      </rPr>
      <t>增加使用通信环线时的备注说明。</t>
    </r>
    <phoneticPr fontId="1" type="noConversion"/>
  </si>
  <si>
    <t>V2.4</t>
    <phoneticPr fontId="1" type="noConversion"/>
  </si>
  <si>
    <t>V2.4.1
V2.6
V1.11</t>
    <phoneticPr fontId="1" type="noConversion"/>
  </si>
  <si>
    <t>V2.4
V2.6
V1.11</t>
    <phoneticPr fontId="1" type="noConversion"/>
  </si>
  <si>
    <r>
      <t>ZHKJ-YF-BiTRACON800-PDS-01-1 BiTRACON800</t>
    </r>
    <r>
      <rPr>
        <sz val="10"/>
        <rFont val="宋体"/>
        <family val="3"/>
        <charset val="134"/>
      </rPr>
      <t xml:space="preserve">系统关键参数计算
</t>
    </r>
    <r>
      <rPr>
        <sz val="10"/>
        <rFont val="Arial"/>
        <family val="2"/>
      </rPr>
      <t>ZHKJ-YF-BiTRACON800-IIDS-03-1 BiTRACON 800</t>
    </r>
    <r>
      <rPr>
        <sz val="10"/>
        <rFont val="宋体"/>
        <family val="3"/>
        <charset val="134"/>
      </rPr>
      <t xml:space="preserve">轨道数据库设计规格书
</t>
    </r>
    <r>
      <rPr>
        <sz val="10"/>
        <rFont val="Arial"/>
        <family val="2"/>
      </rPr>
      <t>ZHJD-YF-BiSTAR-RAMS-02-1 BiSTAR</t>
    </r>
    <r>
      <rPr>
        <sz val="10"/>
        <rFont val="宋体"/>
        <family val="3"/>
        <charset val="134"/>
      </rPr>
      <t xml:space="preserve">平台系统安全应用条件
</t>
    </r>
    <r>
      <rPr>
        <sz val="10"/>
        <rFont val="Arial"/>
        <family val="2"/>
      </rPr>
      <t>ZHKJ-YF-BiTRACON800-IIDS-01-1 BiTRACON 800</t>
    </r>
    <r>
      <rPr>
        <sz val="10"/>
        <rFont val="宋体"/>
        <family val="3"/>
        <charset val="134"/>
      </rPr>
      <t xml:space="preserve">系统内部接口规格书
</t>
    </r>
    <phoneticPr fontId="1" type="noConversion"/>
  </si>
  <si>
    <t>V2.4.1
V2.6
V1.11
V2.7</t>
    <phoneticPr fontId="1" type="noConversion"/>
  </si>
  <si>
    <t>签批单号：
QP001755</t>
    <phoneticPr fontId="1" type="noConversion"/>
  </si>
  <si>
    <t>各标签页配置项取值需以“数值格式”保存</t>
    <phoneticPr fontId="1" type="noConversion"/>
  </si>
  <si>
    <r>
      <rPr>
        <sz val="11"/>
        <rFont val="宋体"/>
        <family val="3"/>
        <charset val="134"/>
      </rPr>
      <t>“输出</t>
    </r>
    <r>
      <rPr>
        <sz val="11"/>
        <rFont val="Arial"/>
        <family val="2"/>
      </rPr>
      <t>-</t>
    </r>
    <r>
      <rPr>
        <sz val="11"/>
        <rFont val="宋体"/>
        <family val="3"/>
        <charset val="134"/>
      </rPr>
      <t>系统进路参数”标签页中蓝色底色表格为需要填写的输入数据</t>
    </r>
    <phoneticPr fontId="1" type="noConversion"/>
  </si>
  <si>
    <r>
      <rPr>
        <b/>
        <sz val="10"/>
        <rFont val="宋体"/>
        <family val="2"/>
        <charset val="134"/>
      </rPr>
      <t>序号</t>
    </r>
    <phoneticPr fontId="1" type="noConversion"/>
  </si>
  <si>
    <r>
      <rPr>
        <b/>
        <sz val="10"/>
        <rFont val="宋体"/>
        <family val="2"/>
        <charset val="134"/>
      </rPr>
      <t>类型</t>
    </r>
    <phoneticPr fontId="1" type="noConversion"/>
  </si>
  <si>
    <r>
      <rPr>
        <b/>
        <sz val="10"/>
        <rFont val="宋体"/>
        <family val="2"/>
        <charset val="134"/>
      </rPr>
      <t>描述</t>
    </r>
    <phoneticPr fontId="1" type="noConversion"/>
  </si>
  <si>
    <r>
      <rPr>
        <b/>
        <sz val="10"/>
        <rFont val="宋体"/>
        <family val="2"/>
        <charset val="134"/>
      </rPr>
      <t>单位</t>
    </r>
    <phoneticPr fontId="1" type="noConversion"/>
  </si>
  <si>
    <r>
      <rPr>
        <b/>
        <sz val="10"/>
        <rFont val="宋体"/>
        <family val="2"/>
        <charset val="134"/>
      </rPr>
      <t>来源</t>
    </r>
    <phoneticPr fontId="1" type="noConversion"/>
  </si>
  <si>
    <r>
      <rPr>
        <b/>
        <sz val="10"/>
        <rFont val="宋体"/>
        <family val="2"/>
        <charset val="134"/>
      </rPr>
      <t>备注</t>
    </r>
    <phoneticPr fontId="1" type="noConversion"/>
  </si>
  <si>
    <r>
      <rPr>
        <sz val="10"/>
        <rFont val="宋体"/>
        <family val="3"/>
        <charset val="134"/>
      </rPr>
      <t>多普勒雷达脉冲代表距离</t>
    </r>
    <phoneticPr fontId="1" type="noConversion"/>
  </si>
  <si>
    <r>
      <rPr>
        <sz val="10"/>
        <rFont val="宋体"/>
        <family val="2"/>
        <charset val="134"/>
      </rPr>
      <t>雷达供货方</t>
    </r>
  </si>
  <si>
    <r>
      <rPr>
        <sz val="10"/>
        <rFont val="宋体"/>
        <family val="3"/>
        <charset val="134"/>
      </rPr>
      <t>多普勒雷达激活速度</t>
    </r>
    <phoneticPr fontId="1" type="noConversion"/>
  </si>
  <si>
    <r>
      <rPr>
        <sz val="10"/>
        <rFont val="宋体"/>
        <family val="2"/>
        <charset val="134"/>
      </rPr>
      <t>多普勒雷达的测速误差</t>
    </r>
    <phoneticPr fontId="1" type="noConversion"/>
  </si>
  <si>
    <r>
      <rPr>
        <sz val="10"/>
        <rFont val="宋体"/>
        <family val="3"/>
        <charset val="134"/>
      </rPr>
      <t>速度计供货方</t>
    </r>
    <phoneticPr fontId="1" type="noConversion"/>
  </si>
  <si>
    <r>
      <rPr>
        <sz val="10"/>
        <rFont val="宋体"/>
        <family val="2"/>
        <charset val="134"/>
      </rPr>
      <t>信标读取旁瓣误差</t>
    </r>
    <phoneticPr fontId="1" type="noConversion"/>
  </si>
  <si>
    <r>
      <rPr>
        <sz val="10"/>
        <rFont val="宋体"/>
        <family val="3"/>
        <charset val="134"/>
      </rPr>
      <t>信标供货方</t>
    </r>
    <phoneticPr fontId="9" type="noConversion"/>
  </si>
  <si>
    <r>
      <rPr>
        <sz val="10"/>
        <rFont val="宋体"/>
        <family val="2"/>
        <charset val="134"/>
      </rPr>
      <t>计轴占用</t>
    </r>
    <r>
      <rPr>
        <sz val="10"/>
        <rFont val="Arial"/>
        <family val="2"/>
      </rPr>
      <t>-&gt;</t>
    </r>
    <r>
      <rPr>
        <sz val="10"/>
        <rFont val="宋体"/>
        <family val="2"/>
        <charset val="134"/>
      </rPr>
      <t>出清反应时间（</t>
    </r>
    <r>
      <rPr>
        <sz val="10"/>
        <rFont val="宋体"/>
        <family val="3"/>
        <charset val="134"/>
      </rPr>
      <t>需含继电器动作时间</t>
    </r>
    <r>
      <rPr>
        <sz val="10"/>
        <rFont val="宋体"/>
        <family val="2"/>
        <charset val="134"/>
      </rPr>
      <t>）</t>
    </r>
    <phoneticPr fontId="9" type="noConversion"/>
  </si>
  <si>
    <r>
      <rPr>
        <sz val="10"/>
        <rFont val="宋体"/>
        <family val="2"/>
        <charset val="134"/>
      </rPr>
      <t>计轴供货方</t>
    </r>
  </si>
  <si>
    <r>
      <rPr>
        <sz val="10"/>
        <rFont val="宋体"/>
        <family val="3"/>
        <charset val="134"/>
      </rPr>
      <t>计轴出清</t>
    </r>
    <r>
      <rPr>
        <sz val="10"/>
        <rFont val="Arial"/>
        <family val="2"/>
      </rPr>
      <t>-&gt;</t>
    </r>
    <r>
      <rPr>
        <sz val="10"/>
        <rFont val="宋体"/>
        <family val="3"/>
        <charset val="134"/>
      </rPr>
      <t>占用反应时间（需含继电器动作时间）</t>
    </r>
    <phoneticPr fontId="9" type="noConversion"/>
  </si>
  <si>
    <r>
      <t>PSC</t>
    </r>
    <r>
      <rPr>
        <sz val="10"/>
        <rFont val="宋体"/>
        <family val="3"/>
        <charset val="134"/>
      </rPr>
      <t>处理时间（</t>
    </r>
    <r>
      <rPr>
        <sz val="10"/>
        <rFont val="Arial"/>
        <family val="2"/>
      </rPr>
      <t>PSC</t>
    </r>
    <r>
      <rPr>
        <sz val="10"/>
        <rFont val="宋体"/>
        <family val="3"/>
        <charset val="134"/>
      </rPr>
      <t>收到开门指令到指令处理完成以及状态返回的时间）</t>
    </r>
    <phoneticPr fontId="1" type="noConversion"/>
  </si>
  <si>
    <r>
      <rPr>
        <sz val="10"/>
        <rFont val="宋体"/>
        <family val="3"/>
        <charset val="134"/>
      </rPr>
      <t>屏蔽门宽度</t>
    </r>
    <phoneticPr fontId="1" type="noConversion"/>
  </si>
  <si>
    <r>
      <rPr>
        <sz val="10"/>
        <rFont val="宋体"/>
        <family val="3"/>
        <charset val="134"/>
      </rPr>
      <t>联锁信息写入应答器</t>
    </r>
    <r>
      <rPr>
        <sz val="10"/>
        <rFont val="Arial"/>
        <family val="2"/>
      </rPr>
      <t>/</t>
    </r>
    <r>
      <rPr>
        <sz val="10"/>
        <rFont val="宋体"/>
        <family val="3"/>
        <charset val="134"/>
      </rPr>
      <t>信标时间</t>
    </r>
    <phoneticPr fontId="9" type="noConversion"/>
  </si>
  <si>
    <r>
      <rPr>
        <sz val="10"/>
        <rFont val="宋体"/>
        <family val="3"/>
        <charset val="134"/>
      </rPr>
      <t>如果项目使用的是欧标，则是通过</t>
    </r>
    <r>
      <rPr>
        <sz val="10"/>
        <rFont val="Arial"/>
        <family val="2"/>
      </rPr>
      <t>LRU</t>
    </r>
    <r>
      <rPr>
        <sz val="10"/>
        <rFont val="宋体"/>
        <family val="3"/>
        <charset val="134"/>
      </rPr>
      <t>方式写入，包括</t>
    </r>
    <r>
      <rPr>
        <sz val="10"/>
        <rFont val="Arial"/>
        <family val="2"/>
      </rPr>
      <t>“LEU</t>
    </r>
    <r>
      <rPr>
        <sz val="10"/>
        <rFont val="宋体"/>
        <family val="3"/>
        <charset val="134"/>
      </rPr>
      <t>采集轨旁信号设备信息且处理完成时间</t>
    </r>
    <r>
      <rPr>
        <sz val="10"/>
        <rFont val="Arial"/>
        <family val="2"/>
      </rPr>
      <t>”+“LEU</t>
    </r>
    <r>
      <rPr>
        <sz val="10"/>
        <rFont val="宋体"/>
        <family val="3"/>
        <charset val="134"/>
      </rPr>
      <t>写入应答器</t>
    </r>
    <r>
      <rPr>
        <sz val="10"/>
        <rFont val="Arial"/>
        <family val="2"/>
      </rPr>
      <t>/</t>
    </r>
    <r>
      <rPr>
        <sz val="10"/>
        <rFont val="宋体"/>
        <family val="3"/>
        <charset val="134"/>
      </rPr>
      <t>信标时间</t>
    </r>
    <r>
      <rPr>
        <sz val="10"/>
        <rFont val="Arial"/>
        <family val="2"/>
      </rPr>
      <t>”</t>
    </r>
    <r>
      <rPr>
        <sz val="10"/>
        <rFont val="宋体"/>
        <family val="3"/>
        <charset val="134"/>
      </rPr>
      <t>；
如果项目使用的是美标，则只考虑继电器动作时间。</t>
    </r>
    <phoneticPr fontId="9" type="noConversion"/>
  </si>
  <si>
    <r>
      <rPr>
        <sz val="10"/>
        <rFont val="宋体"/>
        <family val="3"/>
        <charset val="134"/>
      </rPr>
      <t>车挡可接受的最大撞击速度</t>
    </r>
    <phoneticPr fontId="1" type="noConversion"/>
  </si>
  <si>
    <r>
      <rPr>
        <sz val="10"/>
        <rFont val="宋体"/>
        <family val="3"/>
        <charset val="134"/>
      </rPr>
      <t>运营方</t>
    </r>
    <r>
      <rPr>
        <sz val="10"/>
        <color theme="1"/>
        <rFont val="Arial"/>
        <family val="2"/>
      </rPr>
      <t/>
    </r>
    <phoneticPr fontId="1" type="noConversion"/>
  </si>
  <si>
    <r>
      <t>CBI</t>
    </r>
    <r>
      <rPr>
        <sz val="10"/>
        <rFont val="宋体"/>
        <family val="3"/>
        <charset val="134"/>
      </rPr>
      <t>通过通信环线与</t>
    </r>
    <r>
      <rPr>
        <sz val="10"/>
        <rFont val="Arial"/>
        <family val="2"/>
      </rPr>
      <t>CC</t>
    </r>
    <r>
      <rPr>
        <sz val="10"/>
        <rFont val="宋体"/>
        <family val="3"/>
        <charset val="134"/>
      </rPr>
      <t>通信延迟时间（若无参考输入，以</t>
    </r>
    <r>
      <rPr>
        <sz val="10"/>
        <rFont val="Arial"/>
        <family val="2"/>
      </rPr>
      <t>CFG_T_CBI_ALIVE_TO_CC</t>
    </r>
    <r>
      <rPr>
        <sz val="10"/>
        <rFont val="宋体"/>
        <family val="3"/>
        <charset val="134"/>
      </rPr>
      <t>为准）</t>
    </r>
    <phoneticPr fontId="9" type="noConversion"/>
  </si>
  <si>
    <r>
      <rPr>
        <sz val="10"/>
        <rFont val="宋体"/>
        <family val="3"/>
        <charset val="134"/>
      </rPr>
      <t>线路数据</t>
    </r>
    <phoneticPr fontId="1" type="noConversion"/>
  </si>
  <si>
    <r>
      <rPr>
        <sz val="10"/>
        <rFont val="宋体"/>
        <family val="2"/>
        <charset val="134"/>
      </rPr>
      <t>线路最高限速</t>
    </r>
  </si>
  <si>
    <r>
      <rPr>
        <sz val="10"/>
        <rFont val="宋体"/>
        <family val="3"/>
        <charset val="134"/>
      </rPr>
      <t>信标安装误差</t>
    </r>
    <r>
      <rPr>
        <sz val="10"/>
        <rFont val="Arial"/>
        <family val="2"/>
      </rPr>
      <t>(</t>
    </r>
    <r>
      <rPr>
        <sz val="10"/>
        <rFont val="宋体"/>
        <family val="3"/>
        <charset val="134"/>
      </rPr>
      <t>轮径校准、精确停车</t>
    </r>
    <r>
      <rPr>
        <sz val="10"/>
        <rFont val="Arial"/>
        <family val="2"/>
      </rPr>
      <t>)</t>
    </r>
    <phoneticPr fontId="1" type="noConversion"/>
  </si>
  <si>
    <r>
      <rPr>
        <sz val="10"/>
        <rFont val="宋体"/>
        <family val="2"/>
        <charset val="134"/>
      </rPr>
      <t>工程安装</t>
    </r>
    <phoneticPr fontId="1" type="noConversion"/>
  </si>
  <si>
    <r>
      <rPr>
        <sz val="10"/>
        <rFont val="宋体"/>
        <family val="2"/>
        <charset val="134"/>
      </rPr>
      <t>信号机到关联计轴最大距离</t>
    </r>
    <phoneticPr fontId="1" type="noConversion"/>
  </si>
  <si>
    <r>
      <rPr>
        <sz val="10"/>
        <rFont val="宋体"/>
        <family val="2"/>
        <charset val="134"/>
      </rPr>
      <t>车辆段跳跃区域的停车位置车钩与信号机最小间距</t>
    </r>
    <phoneticPr fontId="1" type="noConversion"/>
  </si>
  <si>
    <r>
      <rPr>
        <sz val="10"/>
        <rFont val="宋体"/>
        <family val="3"/>
        <charset val="134"/>
      </rPr>
      <t>线路数据</t>
    </r>
    <phoneticPr fontId="9" type="noConversion"/>
  </si>
  <si>
    <r>
      <rPr>
        <sz val="10"/>
        <rFont val="宋体"/>
        <family val="2"/>
        <charset val="134"/>
      </rPr>
      <t>车辆段跳跃区域的停车位置车钩与车挡最小间距</t>
    </r>
    <phoneticPr fontId="1" type="noConversion"/>
  </si>
  <si>
    <r>
      <rPr>
        <sz val="10"/>
        <rFont val="宋体"/>
        <family val="2"/>
        <charset val="134"/>
      </rPr>
      <t>车辆段跳跃区域的停车位置与最近精确停车信标最大间距</t>
    </r>
    <phoneticPr fontId="9" type="noConversion"/>
  </si>
  <si>
    <r>
      <rPr>
        <sz val="10"/>
        <rFont val="宋体"/>
        <family val="2"/>
        <charset val="134"/>
      </rPr>
      <t>开口防护停车点到前方车挡距离</t>
    </r>
    <phoneticPr fontId="9" type="noConversion"/>
  </si>
  <si>
    <r>
      <rPr>
        <sz val="10"/>
        <rFont val="宋体"/>
        <family val="2"/>
        <charset val="134"/>
      </rPr>
      <t>开口防护停车点与最近精确停车信标的最大间距</t>
    </r>
    <phoneticPr fontId="9" type="noConversion"/>
  </si>
  <si>
    <r>
      <rPr>
        <sz val="10"/>
        <rFont val="宋体"/>
        <family val="3"/>
        <charset val="134"/>
      </rPr>
      <t>运营方对点式</t>
    </r>
    <r>
      <rPr>
        <sz val="10"/>
        <rFont val="Arial"/>
        <family val="2"/>
      </rPr>
      <t>/CBTC</t>
    </r>
    <r>
      <rPr>
        <sz val="10"/>
        <rFont val="宋体"/>
        <family val="3"/>
        <charset val="134"/>
      </rPr>
      <t>模式下司机控车的最小运行速度要求，若无要求，则填</t>
    </r>
    <r>
      <rPr>
        <sz val="10"/>
        <rFont val="Arial"/>
        <family val="2"/>
      </rPr>
      <t>0</t>
    </r>
    <phoneticPr fontId="1" type="noConversion"/>
  </si>
  <si>
    <r>
      <t>RM</t>
    </r>
    <r>
      <rPr>
        <sz val="10"/>
        <rFont val="宋体"/>
        <family val="2"/>
        <charset val="134"/>
      </rPr>
      <t>模式下前进</t>
    </r>
    <r>
      <rPr>
        <sz val="10"/>
        <rFont val="Arial"/>
        <family val="2"/>
      </rPr>
      <t>EB</t>
    </r>
    <r>
      <rPr>
        <sz val="10"/>
        <rFont val="宋体"/>
        <family val="2"/>
        <charset val="134"/>
      </rPr>
      <t>触发速度（达到该速度即触发</t>
    </r>
    <r>
      <rPr>
        <sz val="10"/>
        <rFont val="Arial"/>
        <family val="2"/>
      </rPr>
      <t>EB</t>
    </r>
    <r>
      <rPr>
        <sz val="10"/>
        <rFont val="宋体"/>
        <family val="2"/>
        <charset val="134"/>
      </rPr>
      <t>）</t>
    </r>
    <phoneticPr fontId="1" type="noConversion"/>
  </si>
  <si>
    <r>
      <t>RM</t>
    </r>
    <r>
      <rPr>
        <sz val="10"/>
        <rFont val="宋体"/>
        <family val="2"/>
        <charset val="134"/>
      </rPr>
      <t>模式下退行</t>
    </r>
    <r>
      <rPr>
        <sz val="10"/>
        <rFont val="Arial"/>
        <family val="2"/>
      </rPr>
      <t>EB</t>
    </r>
    <r>
      <rPr>
        <sz val="10"/>
        <rFont val="宋体"/>
        <family val="2"/>
        <charset val="134"/>
      </rPr>
      <t>触发速度（达到该速度即触发</t>
    </r>
    <r>
      <rPr>
        <sz val="10"/>
        <rFont val="Arial"/>
        <family val="2"/>
      </rPr>
      <t>EB</t>
    </r>
    <r>
      <rPr>
        <sz val="10"/>
        <rFont val="宋体"/>
        <family val="2"/>
        <charset val="134"/>
      </rPr>
      <t>）</t>
    </r>
    <phoneticPr fontId="1" type="noConversion"/>
  </si>
  <si>
    <r>
      <t>EUM</t>
    </r>
    <r>
      <rPr>
        <sz val="10"/>
        <rFont val="宋体"/>
        <family val="3"/>
        <charset val="134"/>
      </rPr>
      <t>模式下最高限速</t>
    </r>
    <phoneticPr fontId="9" type="noConversion"/>
  </si>
  <si>
    <r>
      <t>CBI</t>
    </r>
    <r>
      <rPr>
        <sz val="10"/>
        <rFont val="宋体"/>
        <family val="3"/>
        <charset val="134"/>
      </rPr>
      <t>交接区通信延迟（互联互通项目），无相关要求则填</t>
    </r>
    <r>
      <rPr>
        <sz val="10"/>
        <rFont val="Arial"/>
        <family val="2"/>
      </rPr>
      <t>0</t>
    </r>
    <phoneticPr fontId="1" type="noConversion"/>
  </si>
  <si>
    <r>
      <t>ZC</t>
    </r>
    <r>
      <rPr>
        <sz val="10"/>
        <rFont val="宋体"/>
        <family val="3"/>
        <charset val="134"/>
      </rPr>
      <t>交接区通信延迟（互联互通项目），无相关要求则填</t>
    </r>
    <r>
      <rPr>
        <sz val="10"/>
        <rFont val="Arial"/>
        <family val="2"/>
      </rPr>
      <t>0</t>
    </r>
    <phoneticPr fontId="1" type="noConversion"/>
  </si>
  <si>
    <r>
      <t>ZC-&gt;CBI</t>
    </r>
    <r>
      <rPr>
        <sz val="10"/>
        <rFont val="宋体"/>
        <family val="3"/>
        <charset val="134"/>
      </rPr>
      <t>通信延迟（互联互通项目），无相关要求则填</t>
    </r>
    <r>
      <rPr>
        <sz val="10"/>
        <rFont val="Arial"/>
        <family val="2"/>
      </rPr>
      <t>0</t>
    </r>
    <phoneticPr fontId="1" type="noConversion"/>
  </si>
  <si>
    <r>
      <t>CBI-&gt;ZC</t>
    </r>
    <r>
      <rPr>
        <sz val="10"/>
        <rFont val="宋体"/>
        <family val="3"/>
        <charset val="134"/>
      </rPr>
      <t>通信延迟（互联互通项目），无相关要求则填</t>
    </r>
    <r>
      <rPr>
        <sz val="10"/>
        <rFont val="Arial"/>
        <family val="2"/>
      </rPr>
      <t>0</t>
    </r>
    <phoneticPr fontId="1" type="noConversion"/>
  </si>
  <si>
    <r>
      <t>ZC-&gt;CC</t>
    </r>
    <r>
      <rPr>
        <sz val="10"/>
        <rFont val="宋体"/>
        <family val="3"/>
        <charset val="134"/>
      </rPr>
      <t>通信延迟（互联互通项目），无相关要求则填</t>
    </r>
    <r>
      <rPr>
        <sz val="10"/>
        <rFont val="Arial"/>
        <family val="2"/>
      </rPr>
      <t>0</t>
    </r>
    <phoneticPr fontId="1" type="noConversion"/>
  </si>
  <si>
    <r>
      <t>CC-&gt;ZC</t>
    </r>
    <r>
      <rPr>
        <sz val="10"/>
        <rFont val="宋体"/>
        <family val="3"/>
        <charset val="134"/>
      </rPr>
      <t>通信延迟（互联互通项目），无相关要求则填</t>
    </r>
    <r>
      <rPr>
        <sz val="10"/>
        <rFont val="Arial"/>
        <family val="2"/>
      </rPr>
      <t>0</t>
    </r>
    <phoneticPr fontId="1" type="noConversion"/>
  </si>
  <si>
    <r>
      <t>CBI-&gt;CC</t>
    </r>
    <r>
      <rPr>
        <sz val="10"/>
        <rFont val="宋体"/>
        <family val="3"/>
        <charset val="134"/>
      </rPr>
      <t>通信延迟（互联互通项目），无相关要求则填</t>
    </r>
    <r>
      <rPr>
        <sz val="10"/>
        <rFont val="Arial"/>
        <family val="2"/>
      </rPr>
      <t>0</t>
    </r>
    <phoneticPr fontId="1" type="noConversion"/>
  </si>
  <si>
    <r>
      <t>CC-&gt;CBI</t>
    </r>
    <r>
      <rPr>
        <sz val="10"/>
        <rFont val="宋体"/>
        <family val="3"/>
        <charset val="134"/>
      </rPr>
      <t>通信延迟（互联互通项目），无相关要求则填</t>
    </r>
    <r>
      <rPr>
        <sz val="10"/>
        <rFont val="Arial"/>
        <family val="2"/>
      </rPr>
      <t>0</t>
    </r>
    <phoneticPr fontId="1" type="noConversion"/>
  </si>
  <si>
    <r>
      <rPr>
        <sz val="10"/>
        <rFont val="宋体"/>
        <family val="3"/>
        <charset val="134"/>
      </rPr>
      <t xml:space="preserve">项目点式车地通信方式：
</t>
    </r>
    <r>
      <rPr>
        <sz val="10"/>
        <rFont val="Arial"/>
        <family val="2"/>
      </rPr>
      <t>Type_Beacon-</t>
    </r>
    <r>
      <rPr>
        <sz val="10"/>
        <rFont val="宋体"/>
        <family val="3"/>
        <charset val="134"/>
      </rPr>
      <t xml:space="preserve">基于信标；
</t>
    </r>
    <r>
      <rPr>
        <sz val="10"/>
        <rFont val="Arial"/>
        <family val="2"/>
      </rPr>
      <t>Type_Loop-</t>
    </r>
    <r>
      <rPr>
        <sz val="10"/>
        <rFont val="宋体"/>
        <family val="3"/>
        <charset val="134"/>
      </rPr>
      <t xml:space="preserve">基于环线；
</t>
    </r>
    <r>
      <rPr>
        <sz val="10"/>
        <rFont val="Arial"/>
        <family val="2"/>
      </rPr>
      <t>Type_Both-</t>
    </r>
    <r>
      <rPr>
        <sz val="10"/>
        <rFont val="宋体"/>
        <family val="3"/>
        <charset val="134"/>
      </rPr>
      <t>项目中既有信标又有环线；</t>
    </r>
    <phoneticPr fontId="1" type="noConversion"/>
  </si>
  <si>
    <r>
      <rPr>
        <sz val="10"/>
        <rFont val="宋体"/>
        <family val="3"/>
        <charset val="134"/>
      </rPr>
      <t>无</t>
    </r>
    <phoneticPr fontId="1" type="noConversion"/>
  </si>
  <si>
    <r>
      <rPr>
        <sz val="10"/>
        <rFont val="宋体"/>
        <family val="3"/>
        <charset val="134"/>
      </rPr>
      <t>项目是否考虑反向牵引输出：</t>
    </r>
    <r>
      <rPr>
        <sz val="10"/>
        <rFont val="Arial"/>
        <family val="2"/>
      </rPr>
      <t xml:space="preserve">
1.</t>
    </r>
    <r>
      <rPr>
        <sz val="10"/>
        <rFont val="宋体"/>
        <family val="3"/>
        <charset val="134"/>
      </rPr>
      <t>对于</t>
    </r>
    <r>
      <rPr>
        <sz val="10"/>
        <rFont val="Arial"/>
        <family val="2"/>
      </rPr>
      <t>CBTC</t>
    </r>
    <r>
      <rPr>
        <sz val="10"/>
        <rFont val="宋体"/>
        <family val="3"/>
        <charset val="134"/>
      </rPr>
      <t>项目，若激活端车载信号仅输出向前指令，选</t>
    </r>
    <r>
      <rPr>
        <sz val="10"/>
        <rFont val="Arial"/>
        <family val="2"/>
      </rPr>
      <t>false</t>
    </r>
    <r>
      <rPr>
        <sz val="10"/>
        <rFont val="宋体"/>
        <family val="3"/>
        <charset val="134"/>
      </rPr>
      <t>；若激活端车载信号可输出向后指令，选</t>
    </r>
    <r>
      <rPr>
        <sz val="10"/>
        <rFont val="Arial"/>
        <family val="2"/>
      </rPr>
      <t>true</t>
    </r>
    <r>
      <rPr>
        <sz val="10"/>
        <rFont val="宋体"/>
        <family val="3"/>
        <charset val="134"/>
      </rPr>
      <t xml:space="preserve">；
</t>
    </r>
    <r>
      <rPr>
        <sz val="10"/>
        <rFont val="Arial"/>
        <family val="2"/>
      </rPr>
      <t>2.</t>
    </r>
    <r>
      <rPr>
        <sz val="10"/>
        <rFont val="宋体"/>
        <family val="3"/>
        <charset val="134"/>
      </rPr>
      <t>对于无人驾驶项目，若系统配备跳跃功能，应选</t>
    </r>
    <r>
      <rPr>
        <sz val="10"/>
        <rFont val="Arial"/>
        <family val="2"/>
      </rPr>
      <t>true</t>
    </r>
    <r>
      <rPr>
        <sz val="10"/>
        <rFont val="宋体"/>
        <family val="3"/>
        <charset val="134"/>
      </rPr>
      <t>；无跳跃功能时，参考</t>
    </r>
    <r>
      <rPr>
        <sz val="10"/>
        <rFont val="Arial"/>
        <family val="2"/>
      </rPr>
      <t>CBTC</t>
    </r>
    <r>
      <rPr>
        <sz val="10"/>
        <rFont val="宋体"/>
        <family val="3"/>
        <charset val="134"/>
      </rPr>
      <t>项目。</t>
    </r>
    <phoneticPr fontId="1" type="noConversion"/>
  </si>
  <si>
    <r>
      <rPr>
        <b/>
        <sz val="10"/>
        <rFont val="宋体"/>
        <family val="2"/>
        <charset val="134"/>
      </rPr>
      <t>描述</t>
    </r>
    <phoneticPr fontId="1" type="noConversion"/>
  </si>
  <si>
    <r>
      <rPr>
        <b/>
        <sz val="10"/>
        <rFont val="宋体"/>
        <family val="2"/>
        <charset val="134"/>
      </rPr>
      <t>单位</t>
    </r>
    <phoneticPr fontId="1" type="noConversion"/>
  </si>
  <si>
    <r>
      <rPr>
        <sz val="10"/>
        <rFont val="宋体"/>
        <family val="2"/>
        <charset val="134"/>
      </rPr>
      <t>最大定位误差</t>
    </r>
    <phoneticPr fontId="1" type="noConversion"/>
  </si>
  <si>
    <r>
      <rPr>
        <sz val="10"/>
        <rFont val="宋体"/>
        <family val="2"/>
        <charset val="134"/>
      </rPr>
      <t>后溜安全检测距离</t>
    </r>
    <phoneticPr fontId="1" type="noConversion"/>
  </si>
  <si>
    <r>
      <t>ATP</t>
    </r>
    <r>
      <rPr>
        <sz val="10"/>
        <rFont val="宋体"/>
        <family val="3"/>
        <charset val="134"/>
      </rPr>
      <t>安全距离阈量</t>
    </r>
    <phoneticPr fontId="1" type="noConversion"/>
  </si>
  <si>
    <r>
      <t>CBI</t>
    </r>
    <r>
      <rPr>
        <sz val="10"/>
        <rFont val="宋体"/>
        <family val="2"/>
        <charset val="134"/>
      </rPr>
      <t>子系统周期</t>
    </r>
    <phoneticPr fontId="9" type="noConversion"/>
  </si>
  <si>
    <r>
      <t>ZC</t>
    </r>
    <r>
      <rPr>
        <sz val="10"/>
        <rFont val="宋体"/>
        <family val="2"/>
        <charset val="134"/>
      </rPr>
      <t>子系统周期</t>
    </r>
    <phoneticPr fontId="9" type="noConversion"/>
  </si>
  <si>
    <r>
      <t>CC</t>
    </r>
    <r>
      <rPr>
        <sz val="10"/>
        <rFont val="宋体"/>
        <family val="2"/>
        <charset val="134"/>
      </rPr>
      <t>子系统周期</t>
    </r>
    <phoneticPr fontId="9" type="noConversion"/>
  </si>
  <si>
    <r>
      <t>ATS</t>
    </r>
    <r>
      <rPr>
        <sz val="10"/>
        <rFont val="宋体"/>
        <family val="3"/>
        <charset val="134"/>
      </rPr>
      <t>子系统心跳报文发送周期</t>
    </r>
    <phoneticPr fontId="9" type="noConversion"/>
  </si>
  <si>
    <r>
      <t>CBI-&gt;ZC</t>
    </r>
    <r>
      <rPr>
        <sz val="10"/>
        <rFont val="宋体"/>
        <family val="3"/>
        <charset val="134"/>
      </rPr>
      <t>通信周期</t>
    </r>
    <phoneticPr fontId="9" type="noConversion"/>
  </si>
  <si>
    <r>
      <t>ZC-&gt;CBI</t>
    </r>
    <r>
      <rPr>
        <sz val="10"/>
        <rFont val="宋体"/>
        <family val="3"/>
        <charset val="134"/>
      </rPr>
      <t>通信周期</t>
    </r>
    <phoneticPr fontId="9" type="noConversion"/>
  </si>
  <si>
    <r>
      <t>ZC-&gt;CC</t>
    </r>
    <r>
      <rPr>
        <sz val="10"/>
        <rFont val="宋体"/>
        <family val="3"/>
        <charset val="134"/>
      </rPr>
      <t>通信周期</t>
    </r>
    <phoneticPr fontId="9" type="noConversion"/>
  </si>
  <si>
    <r>
      <t>CC-&gt;ZC</t>
    </r>
    <r>
      <rPr>
        <sz val="10"/>
        <rFont val="宋体"/>
        <family val="3"/>
        <charset val="134"/>
      </rPr>
      <t>通信周期</t>
    </r>
    <phoneticPr fontId="9" type="noConversion"/>
  </si>
  <si>
    <r>
      <t>CC-&gt;CBI</t>
    </r>
    <r>
      <rPr>
        <sz val="10"/>
        <rFont val="宋体"/>
        <family val="3"/>
        <charset val="134"/>
      </rPr>
      <t>通信周期</t>
    </r>
    <phoneticPr fontId="9" type="noConversion"/>
  </si>
  <si>
    <r>
      <t>CBI-&gt;CC</t>
    </r>
    <r>
      <rPr>
        <sz val="10"/>
        <rFont val="宋体"/>
        <family val="3"/>
        <charset val="134"/>
      </rPr>
      <t>通信周期</t>
    </r>
    <phoneticPr fontId="9" type="noConversion"/>
  </si>
  <si>
    <r>
      <rPr>
        <sz val="10"/>
        <rFont val="宋体"/>
        <family val="3"/>
        <charset val="134"/>
      </rPr>
      <t>《</t>
    </r>
    <r>
      <rPr>
        <sz val="10"/>
        <rFont val="Arial"/>
        <family val="2"/>
      </rPr>
      <t>ZHKJ-YF-BiTRACON800-IIDS-01-1 BiTRACON 800</t>
    </r>
    <r>
      <rPr>
        <sz val="10"/>
        <rFont val="宋体"/>
        <family val="3"/>
        <charset val="134"/>
      </rPr>
      <t>系统内部接口规格书》
使用通信环线时，</t>
    </r>
    <r>
      <rPr>
        <sz val="10"/>
        <rFont val="Arial"/>
        <family val="2"/>
      </rPr>
      <t>CBI-&gt;CC</t>
    </r>
    <r>
      <rPr>
        <sz val="10"/>
        <rFont val="宋体"/>
        <family val="3"/>
        <charset val="134"/>
      </rPr>
      <t>通信周期为</t>
    </r>
    <r>
      <rPr>
        <sz val="10"/>
        <rFont val="Arial"/>
        <family val="2"/>
      </rPr>
      <t>250</t>
    </r>
    <phoneticPr fontId="1" type="noConversion"/>
  </si>
  <si>
    <r>
      <t>CC-&gt;ATS</t>
    </r>
    <r>
      <rPr>
        <sz val="10"/>
        <rFont val="宋体"/>
        <family val="3"/>
        <charset val="134"/>
      </rPr>
      <t>通信周期</t>
    </r>
    <phoneticPr fontId="9" type="noConversion"/>
  </si>
  <si>
    <r>
      <t>ZC-&gt;ATS</t>
    </r>
    <r>
      <rPr>
        <sz val="10"/>
        <rFont val="宋体"/>
        <family val="3"/>
        <charset val="134"/>
      </rPr>
      <t>通信周期</t>
    </r>
    <phoneticPr fontId="9" type="noConversion"/>
  </si>
  <si>
    <r>
      <t>CBI-&gt;ATS</t>
    </r>
    <r>
      <rPr>
        <sz val="10"/>
        <rFont val="宋体"/>
        <family val="3"/>
        <charset val="134"/>
      </rPr>
      <t>通信周期</t>
    </r>
    <phoneticPr fontId="9" type="noConversion"/>
  </si>
  <si>
    <r>
      <t>ZC-&gt;ZC</t>
    </r>
    <r>
      <rPr>
        <sz val="10"/>
        <rFont val="宋体"/>
        <family val="3"/>
        <charset val="134"/>
      </rPr>
      <t>通信周期</t>
    </r>
    <phoneticPr fontId="9" type="noConversion"/>
  </si>
  <si>
    <r>
      <t>CBI-&gt;CBI</t>
    </r>
    <r>
      <rPr>
        <sz val="10"/>
        <rFont val="宋体"/>
        <family val="3"/>
        <charset val="134"/>
      </rPr>
      <t>通信周期</t>
    </r>
    <phoneticPr fontId="9" type="noConversion"/>
  </si>
  <si>
    <r>
      <t>DCS</t>
    </r>
    <r>
      <rPr>
        <sz val="10"/>
        <rFont val="宋体"/>
        <family val="2"/>
        <charset val="134"/>
      </rPr>
      <t>网络传输延迟</t>
    </r>
    <r>
      <rPr>
        <sz val="10"/>
        <rFont val="Arial"/>
        <family val="2"/>
      </rPr>
      <t>+</t>
    </r>
    <r>
      <rPr>
        <sz val="10"/>
        <rFont val="宋体"/>
        <family val="2"/>
        <charset val="134"/>
      </rPr>
      <t>节点恢复时间</t>
    </r>
    <phoneticPr fontId="9" type="noConversion"/>
  </si>
  <si>
    <r>
      <rPr>
        <sz val="10"/>
        <rFont val="宋体"/>
        <family val="2"/>
        <charset val="134"/>
      </rPr>
      <t>无线网络丢包宽恕</t>
    </r>
  </si>
  <si>
    <r>
      <t>CC</t>
    </r>
    <r>
      <rPr>
        <sz val="10"/>
        <rFont val="宋体"/>
        <family val="3"/>
        <charset val="134"/>
      </rPr>
      <t>业务报文通过</t>
    </r>
    <r>
      <rPr>
        <sz val="10"/>
        <rFont val="Arial"/>
        <family val="2"/>
      </rPr>
      <t>VOB</t>
    </r>
    <r>
      <rPr>
        <sz val="10"/>
        <rFont val="宋体"/>
        <family val="3"/>
        <charset val="134"/>
      </rPr>
      <t>板输出延时（含</t>
    </r>
    <r>
      <rPr>
        <sz val="10"/>
        <rFont val="Arial"/>
        <family val="2"/>
      </rPr>
      <t>VC</t>
    </r>
    <r>
      <rPr>
        <sz val="10"/>
        <rFont val="宋体"/>
        <family val="3"/>
        <charset val="134"/>
      </rPr>
      <t>板和</t>
    </r>
    <r>
      <rPr>
        <sz val="10"/>
        <rFont val="Arial"/>
        <family val="2"/>
      </rPr>
      <t>VOB</t>
    </r>
    <r>
      <rPr>
        <sz val="10"/>
        <rFont val="宋体"/>
        <family val="3"/>
        <charset val="134"/>
      </rPr>
      <t>板处理时间及</t>
    </r>
    <r>
      <rPr>
        <sz val="10"/>
        <rFont val="Arial"/>
        <family val="2"/>
      </rPr>
      <t>SR6</t>
    </r>
    <r>
      <rPr>
        <sz val="10"/>
        <rFont val="宋体"/>
        <family val="3"/>
        <charset val="134"/>
      </rPr>
      <t>继电器释放时间）</t>
    </r>
    <phoneticPr fontId="1" type="noConversion"/>
  </si>
  <si>
    <r>
      <rPr>
        <sz val="10"/>
        <rFont val="宋体"/>
        <family val="3"/>
        <charset val="134"/>
      </rPr>
      <t>外部报文通过</t>
    </r>
    <r>
      <rPr>
        <sz val="10"/>
        <rFont val="Arial"/>
        <family val="2"/>
      </rPr>
      <t>VIB</t>
    </r>
    <r>
      <rPr>
        <sz val="10"/>
        <rFont val="宋体"/>
        <family val="3"/>
        <charset val="134"/>
      </rPr>
      <t>板到</t>
    </r>
    <r>
      <rPr>
        <sz val="10"/>
        <rFont val="Arial"/>
        <family val="2"/>
      </rPr>
      <t>CC</t>
    </r>
    <r>
      <rPr>
        <sz val="10"/>
        <rFont val="宋体"/>
        <family val="3"/>
        <charset val="134"/>
      </rPr>
      <t>业务的延时（含</t>
    </r>
    <r>
      <rPr>
        <sz val="10"/>
        <rFont val="Arial"/>
        <family val="2"/>
      </rPr>
      <t>VC</t>
    </r>
    <r>
      <rPr>
        <sz val="10"/>
        <rFont val="宋体"/>
        <family val="3"/>
        <charset val="134"/>
      </rPr>
      <t>板和</t>
    </r>
    <r>
      <rPr>
        <sz val="10"/>
        <rFont val="Arial"/>
        <family val="2"/>
      </rPr>
      <t>VIB</t>
    </r>
    <r>
      <rPr>
        <sz val="10"/>
        <rFont val="宋体"/>
        <family val="3"/>
        <charset val="134"/>
      </rPr>
      <t>板处理时间）</t>
    </r>
    <phoneticPr fontId="1" type="noConversion"/>
  </si>
  <si>
    <r>
      <t>CC</t>
    </r>
    <r>
      <rPr>
        <sz val="10"/>
        <rFont val="宋体"/>
        <family val="3"/>
        <charset val="134"/>
      </rPr>
      <t>业务报文通过</t>
    </r>
    <r>
      <rPr>
        <sz val="10"/>
        <rFont val="Arial"/>
        <family val="2"/>
      </rPr>
      <t>COM</t>
    </r>
    <r>
      <rPr>
        <sz val="10"/>
        <rFont val="宋体"/>
        <family val="3"/>
        <charset val="134"/>
      </rPr>
      <t>板输出延时（含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</si>
  <si>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rPr>
        <sz val="10"/>
        <rFont val="宋体"/>
        <family val="3"/>
        <charset val="134"/>
      </rPr>
      <t>外部报文通过</t>
    </r>
    <r>
      <rPr>
        <sz val="10"/>
        <rFont val="Arial"/>
        <family val="2"/>
      </rPr>
      <t>COM</t>
    </r>
    <r>
      <rPr>
        <sz val="10"/>
        <rFont val="宋体"/>
        <family val="3"/>
        <charset val="134"/>
      </rPr>
      <t>板到</t>
    </r>
    <r>
      <rPr>
        <sz val="10"/>
        <rFont val="Arial"/>
        <family val="2"/>
      </rPr>
      <t>CC</t>
    </r>
    <r>
      <rPr>
        <sz val="10"/>
        <rFont val="宋体"/>
        <family val="3"/>
        <charset val="134"/>
      </rPr>
      <t>业务的延时（含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</si>
  <si>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t>ZC</t>
    </r>
    <r>
      <rPr>
        <sz val="10"/>
        <rFont val="宋体"/>
        <family val="3"/>
        <charset val="134"/>
      </rPr>
      <t>业务报文通过</t>
    </r>
    <r>
      <rPr>
        <sz val="10"/>
        <rFont val="Arial"/>
        <family val="2"/>
      </rPr>
      <t>COM</t>
    </r>
    <r>
      <rPr>
        <sz val="10"/>
        <rFont val="宋体"/>
        <family val="3"/>
        <charset val="134"/>
      </rPr>
      <t>板输出延时（含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</si>
  <si>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rPr>
        <sz val="10"/>
        <rFont val="宋体"/>
        <family val="3"/>
        <charset val="134"/>
      </rPr>
      <t>外部报文通过</t>
    </r>
    <r>
      <rPr>
        <sz val="10"/>
        <rFont val="Arial"/>
        <family val="2"/>
      </rPr>
      <t>COM</t>
    </r>
    <r>
      <rPr>
        <sz val="10"/>
        <rFont val="宋体"/>
        <family val="3"/>
        <charset val="134"/>
      </rPr>
      <t>板到</t>
    </r>
    <r>
      <rPr>
        <sz val="10"/>
        <rFont val="Arial"/>
        <family val="2"/>
      </rPr>
      <t>ZC</t>
    </r>
    <r>
      <rPr>
        <sz val="10"/>
        <rFont val="宋体"/>
        <family val="3"/>
        <charset val="134"/>
      </rPr>
      <t>业务的延时（含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</si>
  <si>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t>CBI</t>
    </r>
    <r>
      <rPr>
        <sz val="10"/>
        <rFont val="宋体"/>
        <family val="3"/>
        <charset val="134"/>
      </rPr>
      <t>业务报文通过</t>
    </r>
    <r>
      <rPr>
        <sz val="10"/>
        <rFont val="Arial"/>
        <family val="2"/>
      </rPr>
      <t>VOB</t>
    </r>
    <r>
      <rPr>
        <sz val="10"/>
        <rFont val="宋体"/>
        <family val="3"/>
        <charset val="134"/>
      </rPr>
      <t>板输出延时（含</t>
    </r>
    <r>
      <rPr>
        <sz val="10"/>
        <rFont val="Arial"/>
        <family val="2"/>
      </rPr>
      <t>SR6</t>
    </r>
    <r>
      <rPr>
        <sz val="10"/>
        <rFont val="宋体"/>
        <family val="3"/>
        <charset val="134"/>
      </rPr>
      <t>继电器释放时间）</t>
    </r>
    <phoneticPr fontId="1" type="noConversion"/>
  </si>
  <si>
    <r>
      <rPr>
        <sz val="10"/>
        <rFont val="宋体"/>
        <family val="3"/>
        <charset val="134"/>
      </rPr>
      <t>外部报文通过</t>
    </r>
    <r>
      <rPr>
        <sz val="10"/>
        <rFont val="Arial"/>
        <family val="2"/>
      </rPr>
      <t>VIB</t>
    </r>
    <r>
      <rPr>
        <sz val="10"/>
        <rFont val="宋体"/>
        <family val="3"/>
        <charset val="134"/>
      </rPr>
      <t>板到</t>
    </r>
    <r>
      <rPr>
        <sz val="10"/>
        <rFont val="Arial"/>
        <family val="2"/>
      </rPr>
      <t>CBI</t>
    </r>
    <r>
      <rPr>
        <sz val="10"/>
        <rFont val="宋体"/>
        <family val="3"/>
        <charset val="134"/>
      </rPr>
      <t>业务的延时（含</t>
    </r>
    <r>
      <rPr>
        <sz val="10"/>
        <rFont val="Arial"/>
        <family val="2"/>
      </rPr>
      <t>VC</t>
    </r>
    <r>
      <rPr>
        <sz val="10"/>
        <rFont val="宋体"/>
        <family val="3"/>
        <charset val="134"/>
      </rPr>
      <t>板和</t>
    </r>
    <r>
      <rPr>
        <sz val="10"/>
        <rFont val="Arial"/>
        <family val="2"/>
      </rPr>
      <t>VIB</t>
    </r>
    <r>
      <rPr>
        <sz val="10"/>
        <rFont val="宋体"/>
        <family val="3"/>
        <charset val="134"/>
      </rPr>
      <t>板处理时间）</t>
    </r>
    <phoneticPr fontId="1" type="noConversion"/>
  </si>
  <si>
    <r>
      <t>CBI</t>
    </r>
    <r>
      <rPr>
        <sz val="10"/>
        <rFont val="宋体"/>
        <family val="3"/>
        <charset val="134"/>
      </rPr>
      <t>业务报文通过</t>
    </r>
    <r>
      <rPr>
        <sz val="10"/>
        <rFont val="Arial"/>
        <family val="2"/>
      </rPr>
      <t>COM</t>
    </r>
    <r>
      <rPr>
        <sz val="10"/>
        <rFont val="宋体"/>
        <family val="3"/>
        <charset val="134"/>
      </rPr>
      <t>板输出延时（含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</si>
  <si>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rPr>
        <sz val="10"/>
        <rFont val="宋体"/>
        <family val="3"/>
        <charset val="134"/>
      </rPr>
      <t>外部报文通过</t>
    </r>
    <r>
      <rPr>
        <sz val="10"/>
        <rFont val="Arial"/>
        <family val="2"/>
      </rPr>
      <t>COM</t>
    </r>
    <r>
      <rPr>
        <sz val="10"/>
        <rFont val="宋体"/>
        <family val="3"/>
        <charset val="134"/>
      </rPr>
      <t>板到</t>
    </r>
    <r>
      <rPr>
        <sz val="10"/>
        <rFont val="Arial"/>
        <family val="2"/>
      </rPr>
      <t>CBI</t>
    </r>
    <r>
      <rPr>
        <sz val="10"/>
        <rFont val="宋体"/>
        <family val="3"/>
        <charset val="134"/>
      </rPr>
      <t>业务的延时（含</t>
    </r>
    <r>
      <rPr>
        <sz val="10"/>
        <rFont val="Arial"/>
        <family val="2"/>
      </rPr>
      <t>VC</t>
    </r>
    <r>
      <rPr>
        <sz val="10"/>
        <rFont val="宋体"/>
        <family val="3"/>
        <charset val="134"/>
      </rPr>
      <t>板和</t>
    </r>
    <r>
      <rPr>
        <sz val="10"/>
        <rFont val="Arial"/>
        <family val="2"/>
      </rPr>
      <t>COM</t>
    </r>
    <r>
      <rPr>
        <sz val="10"/>
        <rFont val="宋体"/>
        <family val="3"/>
        <charset val="134"/>
      </rPr>
      <t>板处理时间）</t>
    </r>
    <phoneticPr fontId="1" type="noConversion"/>
  </si>
  <si>
    <r>
      <t>PPU</t>
    </r>
    <r>
      <rPr>
        <sz val="10"/>
        <rFont val="宋体"/>
        <family val="3"/>
        <charset val="134"/>
      </rPr>
      <t>板处理时间（供</t>
    </r>
    <r>
      <rPr>
        <sz val="10"/>
        <rFont val="Arial"/>
        <family val="2"/>
      </rPr>
      <t>ATP</t>
    </r>
    <r>
      <rPr>
        <sz val="10"/>
        <rFont val="宋体"/>
        <family val="3"/>
        <charset val="134"/>
      </rPr>
      <t>采集）</t>
    </r>
    <phoneticPr fontId="1" type="noConversion"/>
  </si>
  <si>
    <r>
      <rPr>
        <b/>
        <sz val="10"/>
        <rFont val="宋体"/>
        <family val="3"/>
        <charset val="134"/>
      </rPr>
      <t>序号</t>
    </r>
    <phoneticPr fontId="1" type="noConversion"/>
  </si>
  <si>
    <r>
      <rPr>
        <b/>
        <sz val="10"/>
        <rFont val="宋体"/>
        <family val="2"/>
        <charset val="134"/>
      </rPr>
      <t>变量</t>
    </r>
    <phoneticPr fontId="1" type="noConversion"/>
  </si>
  <si>
    <r>
      <rPr>
        <b/>
        <sz val="10"/>
        <rFont val="宋体"/>
        <family val="2"/>
        <charset val="134"/>
      </rPr>
      <t>描述</t>
    </r>
    <phoneticPr fontId="1" type="noConversion"/>
  </si>
  <si>
    <r>
      <rPr>
        <b/>
        <sz val="10"/>
        <rFont val="宋体"/>
        <family val="3"/>
        <charset val="134"/>
      </rPr>
      <t>单位</t>
    </r>
    <phoneticPr fontId="1" type="noConversion"/>
  </si>
  <si>
    <r>
      <t>ZC</t>
    </r>
    <r>
      <rPr>
        <sz val="10"/>
        <rFont val="宋体"/>
        <family val="3"/>
        <charset val="134"/>
      </rPr>
      <t>检测</t>
    </r>
    <r>
      <rPr>
        <sz val="10"/>
        <rFont val="Arial"/>
        <family val="2"/>
      </rPr>
      <t>CBI</t>
    </r>
    <r>
      <rPr>
        <sz val="10"/>
        <rFont val="宋体"/>
        <family val="3"/>
        <charset val="134"/>
      </rPr>
      <t>周期报文通信超时的宽恕时间</t>
    </r>
    <phoneticPr fontId="1" type="noConversion"/>
  </si>
  <si>
    <r>
      <t>CBI</t>
    </r>
    <r>
      <rPr>
        <sz val="10"/>
        <rFont val="宋体"/>
        <family val="3"/>
        <charset val="134"/>
      </rPr>
      <t>检测</t>
    </r>
    <r>
      <rPr>
        <sz val="10"/>
        <rFont val="Arial"/>
        <family val="2"/>
      </rPr>
      <t>ZC</t>
    </r>
    <r>
      <rPr>
        <sz val="10"/>
        <rFont val="宋体"/>
        <family val="3"/>
        <charset val="134"/>
      </rPr>
      <t>周期报文通信超时的宽恕时间</t>
    </r>
    <phoneticPr fontId="1" type="noConversion"/>
  </si>
  <si>
    <r>
      <t>CC</t>
    </r>
    <r>
      <rPr>
        <sz val="10"/>
        <rFont val="宋体"/>
        <family val="3"/>
        <charset val="134"/>
      </rPr>
      <t>检测</t>
    </r>
    <r>
      <rPr>
        <sz val="10"/>
        <rFont val="Arial"/>
        <family val="2"/>
      </rPr>
      <t>ZC</t>
    </r>
    <r>
      <rPr>
        <sz val="10"/>
        <rFont val="宋体"/>
        <family val="3"/>
        <charset val="134"/>
      </rPr>
      <t>周期报文通信超时的有效时间</t>
    </r>
    <phoneticPr fontId="1" type="noConversion"/>
  </si>
  <si>
    <r>
      <t>ZC</t>
    </r>
    <r>
      <rPr>
        <sz val="10"/>
        <rFont val="宋体"/>
        <family val="3"/>
        <charset val="134"/>
      </rPr>
      <t>检测</t>
    </r>
    <r>
      <rPr>
        <sz val="10"/>
        <rFont val="Arial"/>
        <family val="2"/>
      </rPr>
      <t>CC</t>
    </r>
    <r>
      <rPr>
        <sz val="10"/>
        <rFont val="宋体"/>
        <family val="3"/>
        <charset val="134"/>
      </rPr>
      <t>周期报文通信超时的宽恕时间</t>
    </r>
    <phoneticPr fontId="1" type="noConversion"/>
  </si>
  <si>
    <r>
      <rPr>
        <sz val="10"/>
        <rFont val="宋体"/>
        <family val="3"/>
        <charset val="134"/>
      </rPr>
      <t>在增强点式状态下，</t>
    </r>
    <r>
      <rPr>
        <sz val="10"/>
        <rFont val="Arial"/>
        <family val="2"/>
      </rPr>
      <t>CBI</t>
    </r>
    <r>
      <rPr>
        <sz val="10"/>
        <rFont val="宋体"/>
        <family val="3"/>
        <charset val="134"/>
      </rPr>
      <t>可容忍的</t>
    </r>
    <r>
      <rPr>
        <sz val="10"/>
        <rFont val="Arial"/>
        <family val="2"/>
      </rPr>
      <t>CC</t>
    </r>
    <r>
      <rPr>
        <sz val="10"/>
        <rFont val="宋体"/>
        <family val="3"/>
        <charset val="134"/>
      </rPr>
      <t>周期报文通信最大超时时间</t>
    </r>
    <phoneticPr fontId="1" type="noConversion"/>
  </si>
  <si>
    <r>
      <rPr>
        <sz val="10"/>
        <rFont val="宋体"/>
        <family val="3"/>
        <charset val="134"/>
      </rPr>
      <t>在增强点式状态下，</t>
    </r>
    <r>
      <rPr>
        <sz val="10"/>
        <rFont val="Arial"/>
        <family val="2"/>
      </rPr>
      <t>CC</t>
    </r>
    <r>
      <rPr>
        <sz val="10"/>
        <rFont val="宋体"/>
        <family val="3"/>
        <charset val="134"/>
      </rPr>
      <t>可容忍的</t>
    </r>
    <r>
      <rPr>
        <sz val="10"/>
        <rFont val="Arial"/>
        <family val="2"/>
      </rPr>
      <t>CBI</t>
    </r>
    <r>
      <rPr>
        <sz val="10"/>
        <rFont val="宋体"/>
        <family val="3"/>
        <charset val="134"/>
      </rPr>
      <t>周期报文通信最大超时时间</t>
    </r>
    <r>
      <rPr>
        <sz val="10"/>
        <rFont val="Arial"/>
        <family val="2"/>
      </rPr>
      <t xml:space="preserve"> </t>
    </r>
    <phoneticPr fontId="1" type="noConversion"/>
  </si>
  <si>
    <r>
      <t>ATS</t>
    </r>
    <r>
      <rPr>
        <sz val="10"/>
        <rFont val="宋体"/>
        <family val="3"/>
        <charset val="134"/>
      </rPr>
      <t>检测</t>
    </r>
    <r>
      <rPr>
        <sz val="10"/>
        <rFont val="Arial"/>
        <family val="2"/>
      </rPr>
      <t>CC</t>
    </r>
    <r>
      <rPr>
        <sz val="10"/>
        <rFont val="宋体"/>
        <family val="3"/>
        <charset val="134"/>
      </rPr>
      <t>周期报文通信超时的宽恕时间</t>
    </r>
    <phoneticPr fontId="1" type="noConversion"/>
  </si>
  <si>
    <r>
      <t>CC</t>
    </r>
    <r>
      <rPr>
        <sz val="10"/>
        <rFont val="宋体"/>
        <family val="3"/>
        <charset val="134"/>
      </rPr>
      <t>检测</t>
    </r>
    <r>
      <rPr>
        <sz val="10"/>
        <rFont val="Arial"/>
        <family val="2"/>
      </rPr>
      <t>ATS</t>
    </r>
    <r>
      <rPr>
        <sz val="10"/>
        <rFont val="宋体"/>
        <family val="3"/>
        <charset val="134"/>
      </rPr>
      <t>周期报文通信超时的宽恕时间</t>
    </r>
    <phoneticPr fontId="1" type="noConversion"/>
  </si>
  <si>
    <r>
      <t>ATS</t>
    </r>
    <r>
      <rPr>
        <sz val="10"/>
        <rFont val="宋体"/>
        <family val="3"/>
        <charset val="134"/>
      </rPr>
      <t>检测</t>
    </r>
    <r>
      <rPr>
        <sz val="10"/>
        <rFont val="Arial"/>
        <family val="2"/>
      </rPr>
      <t>ZC</t>
    </r>
    <r>
      <rPr>
        <sz val="10"/>
        <rFont val="宋体"/>
        <family val="3"/>
        <charset val="134"/>
      </rPr>
      <t>周期报文通信超时的有效时间</t>
    </r>
    <phoneticPr fontId="1" type="noConversion"/>
  </si>
  <si>
    <r>
      <t>ZC</t>
    </r>
    <r>
      <rPr>
        <sz val="10"/>
        <rFont val="宋体"/>
        <family val="3"/>
        <charset val="134"/>
      </rPr>
      <t>检测</t>
    </r>
    <r>
      <rPr>
        <sz val="10"/>
        <rFont val="Arial"/>
        <family val="2"/>
      </rPr>
      <t>ATS</t>
    </r>
    <r>
      <rPr>
        <sz val="10"/>
        <rFont val="宋体"/>
        <family val="3"/>
        <charset val="134"/>
      </rPr>
      <t>周期报文通信超时的宽恕时间</t>
    </r>
    <phoneticPr fontId="1" type="noConversion"/>
  </si>
  <si>
    <r>
      <t>ATS</t>
    </r>
    <r>
      <rPr>
        <sz val="10"/>
        <rFont val="宋体"/>
        <family val="3"/>
        <charset val="134"/>
      </rPr>
      <t>检测</t>
    </r>
    <r>
      <rPr>
        <sz val="10"/>
        <rFont val="Arial"/>
        <family val="2"/>
      </rPr>
      <t>CBI</t>
    </r>
    <r>
      <rPr>
        <sz val="10"/>
        <rFont val="宋体"/>
        <family val="3"/>
        <charset val="134"/>
      </rPr>
      <t>周期报文通信超时的有效时间</t>
    </r>
    <phoneticPr fontId="1" type="noConversion"/>
  </si>
  <si>
    <r>
      <t>CBI</t>
    </r>
    <r>
      <rPr>
        <sz val="10"/>
        <rFont val="宋体"/>
        <family val="3"/>
        <charset val="134"/>
      </rPr>
      <t>检测</t>
    </r>
    <r>
      <rPr>
        <sz val="10"/>
        <rFont val="Arial"/>
        <family val="2"/>
      </rPr>
      <t>CBI</t>
    </r>
    <r>
      <rPr>
        <sz val="10"/>
        <rFont val="宋体"/>
        <family val="3"/>
        <charset val="134"/>
      </rPr>
      <t>周期报文通信超时的宽恕时间</t>
    </r>
    <phoneticPr fontId="1" type="noConversion"/>
  </si>
  <si>
    <r>
      <t>ZC</t>
    </r>
    <r>
      <rPr>
        <sz val="10"/>
        <rFont val="宋体"/>
        <family val="3"/>
        <charset val="134"/>
      </rPr>
      <t>检测</t>
    </r>
    <r>
      <rPr>
        <sz val="10"/>
        <rFont val="Arial"/>
        <family val="2"/>
      </rPr>
      <t>ZC</t>
    </r>
    <r>
      <rPr>
        <sz val="10"/>
        <rFont val="宋体"/>
        <family val="3"/>
        <charset val="134"/>
      </rPr>
      <t>周期报文通信超时的宽恕时间</t>
    </r>
    <phoneticPr fontId="1" type="noConversion"/>
  </si>
  <si>
    <r>
      <t>ATP</t>
    </r>
    <r>
      <rPr>
        <sz val="10"/>
        <rFont val="宋体"/>
        <family val="3"/>
        <charset val="134"/>
      </rPr>
      <t>最大定位不确定性范围</t>
    </r>
    <phoneticPr fontId="1" type="noConversion"/>
  </si>
  <si>
    <r>
      <t>参照</t>
    </r>
    <r>
      <rPr>
        <sz val="10"/>
        <rFont val="Arial"/>
        <family val="2"/>
      </rPr>
      <t>“</t>
    </r>
    <r>
      <rPr>
        <sz val="10"/>
        <rFont val="宋体"/>
        <family val="3"/>
        <charset val="134"/>
      </rPr>
      <t>输出-系统进路参数</t>
    </r>
    <r>
      <rPr>
        <sz val="10"/>
        <rFont val="Arial"/>
        <family val="2"/>
      </rPr>
      <t>”</t>
    </r>
    <phoneticPr fontId="1" type="noConversion"/>
  </si>
  <si>
    <r>
      <rPr>
        <sz val="10"/>
        <rFont val="宋体"/>
        <family val="3"/>
        <charset val="134"/>
      </rPr>
      <t>联锁进路的总人解延迟时间</t>
    </r>
    <r>
      <rPr>
        <sz val="10"/>
        <rFont val="Arial"/>
        <family val="2"/>
      </rPr>
      <t>(DMC)</t>
    </r>
    <r>
      <rPr>
        <sz val="10"/>
        <color theme="1"/>
        <rFont val="宋体"/>
        <family val="3"/>
        <charset val="134"/>
      </rPr>
      <t/>
    </r>
    <phoneticPr fontId="1" type="noConversion"/>
  </si>
  <si>
    <r>
      <t>参照</t>
    </r>
    <r>
      <rPr>
        <sz val="10"/>
        <rFont val="Arial"/>
        <family val="2"/>
      </rPr>
      <t>“</t>
    </r>
    <r>
      <rPr>
        <sz val="10"/>
        <rFont val="宋体"/>
        <family val="3"/>
        <charset val="134"/>
      </rPr>
      <t>输出-系统进路参数</t>
    </r>
    <r>
      <rPr>
        <sz val="10"/>
        <rFont val="Arial"/>
        <family val="2"/>
      </rPr>
      <t>”</t>
    </r>
    <phoneticPr fontId="1" type="noConversion"/>
  </si>
  <si>
    <r>
      <rPr>
        <sz val="10"/>
        <rFont val="宋体"/>
        <family val="3"/>
        <charset val="134"/>
      </rPr>
      <t>联锁进路的总人解延迟时间</t>
    </r>
    <r>
      <rPr>
        <sz val="10"/>
        <rFont val="Arial"/>
        <family val="2"/>
      </rPr>
      <t>(IMC)</t>
    </r>
    <r>
      <rPr>
        <sz val="10"/>
        <color theme="1"/>
        <rFont val="宋体"/>
        <family val="3"/>
        <charset val="134"/>
      </rPr>
      <t/>
    </r>
    <phoneticPr fontId="1" type="noConversion"/>
  </si>
  <si>
    <r>
      <t>联锁引导进路的延迟解锁时间</t>
    </r>
    <r>
      <rPr>
        <sz val="10"/>
        <color theme="1"/>
        <rFont val="宋体"/>
        <family val="3"/>
        <charset val="134"/>
      </rPr>
      <t/>
    </r>
    <phoneticPr fontId="1" type="noConversion"/>
  </si>
  <si>
    <r>
      <rPr>
        <sz val="10"/>
        <rFont val="宋体"/>
        <family val="3"/>
        <charset val="134"/>
      </rPr>
      <t>联锁保护区段泊车区段预取消时间</t>
    </r>
    <r>
      <rPr>
        <sz val="10"/>
        <color theme="1"/>
        <rFont val="Arial"/>
        <family val="2"/>
      </rPr>
      <t/>
    </r>
    <phoneticPr fontId="1" type="noConversion"/>
  </si>
  <si>
    <r>
      <rPr>
        <sz val="10"/>
        <rFont val="宋体"/>
        <family val="3"/>
        <charset val="134"/>
      </rPr>
      <t>联锁保护区段进路总取消时间（点式下或非通信车采用），参照</t>
    </r>
    <r>
      <rPr>
        <sz val="10"/>
        <rFont val="Arial"/>
        <family val="2"/>
      </rPr>
      <t>“</t>
    </r>
    <r>
      <rPr>
        <sz val="10"/>
        <rFont val="宋体"/>
        <family val="3"/>
        <charset val="134"/>
      </rPr>
      <t>系统进路参数表</t>
    </r>
    <r>
      <rPr>
        <sz val="10"/>
        <rFont val="Arial"/>
        <family val="2"/>
      </rPr>
      <t>”</t>
    </r>
    <phoneticPr fontId="1" type="noConversion"/>
  </si>
  <si>
    <r>
      <t>SPKS</t>
    </r>
    <r>
      <rPr>
        <sz val="10"/>
        <rFont val="宋体"/>
        <family val="3"/>
        <charset val="134"/>
      </rPr>
      <t>表示灯激活延迟时间</t>
    </r>
    <phoneticPr fontId="1" type="noConversion"/>
  </si>
  <si>
    <r>
      <rPr>
        <sz val="10"/>
        <rFont val="宋体"/>
        <family val="3"/>
        <charset val="134"/>
      </rPr>
      <t>联锁在</t>
    </r>
    <r>
      <rPr>
        <sz val="10"/>
        <rFont val="Arial"/>
        <family val="2"/>
      </rPr>
      <t>ZC</t>
    </r>
    <r>
      <rPr>
        <sz val="10"/>
        <rFont val="宋体"/>
        <family val="3"/>
        <charset val="134"/>
      </rPr>
      <t>申请保护区段建立后连接中断的保护区段延迟解锁时间（</t>
    </r>
    <r>
      <rPr>
        <sz val="10"/>
        <rFont val="Arial"/>
        <family val="2"/>
      </rPr>
      <t>CBTC</t>
    </r>
    <r>
      <rPr>
        <sz val="10"/>
        <rFont val="宋体"/>
        <family val="3"/>
        <charset val="134"/>
      </rPr>
      <t>下采用）</t>
    </r>
    <phoneticPr fontId="1" type="noConversion"/>
  </si>
  <si>
    <r>
      <rPr>
        <sz val="10"/>
        <rFont val="宋体"/>
        <family val="3"/>
        <charset val="134"/>
      </rPr>
      <t>由于</t>
    </r>
    <r>
      <rPr>
        <sz val="10"/>
        <rFont val="Arial"/>
        <family val="2"/>
      </rPr>
      <t>CBI</t>
    </r>
    <r>
      <rPr>
        <sz val="10"/>
        <rFont val="宋体"/>
        <family val="3"/>
        <charset val="134"/>
      </rPr>
      <t>参数配置不区分车辆编组，所以此处计算需考虑各种编组的最差参数</t>
    </r>
    <phoneticPr fontId="1" type="noConversion"/>
  </si>
  <si>
    <r>
      <rPr>
        <sz val="10"/>
        <rFont val="宋体"/>
        <family val="3"/>
        <charset val="134"/>
      </rPr>
      <t>移动授权占用保护区段的最大长度</t>
    </r>
    <r>
      <rPr>
        <sz val="10"/>
        <color rgb="FFFF0000"/>
        <rFont val="宋体"/>
        <family val="3"/>
        <charset val="134"/>
      </rPr>
      <t/>
    </r>
    <phoneticPr fontId="9" type="noConversion"/>
  </si>
  <si>
    <r>
      <rPr>
        <sz val="10"/>
        <rFont val="宋体"/>
        <family val="3"/>
        <charset val="134"/>
      </rPr>
      <t>移动授权占用保护区段的最小长度</t>
    </r>
    <r>
      <rPr>
        <sz val="10"/>
        <color rgb="FFFF0000"/>
        <rFont val="宋体"/>
        <family val="3"/>
        <charset val="134"/>
      </rPr>
      <t/>
    </r>
    <phoneticPr fontId="9" type="noConversion"/>
  </si>
  <si>
    <r>
      <rPr>
        <sz val="10"/>
        <rFont val="宋体"/>
        <family val="3"/>
        <charset val="134"/>
      </rPr>
      <t>由于</t>
    </r>
    <r>
      <rPr>
        <sz val="10"/>
        <rFont val="Arial"/>
        <family val="2"/>
      </rPr>
      <t>ZC</t>
    </r>
    <r>
      <rPr>
        <sz val="10"/>
        <rFont val="宋体"/>
        <family val="3"/>
        <charset val="134"/>
      </rPr>
      <t>参数配置不区分车辆编组，所以此处计算需考虑各种编组的最差参数</t>
    </r>
    <phoneticPr fontId="1" type="noConversion"/>
  </si>
  <si>
    <r>
      <t>ATP</t>
    </r>
    <r>
      <rPr>
        <sz val="10"/>
        <rFont val="宋体"/>
        <family val="3"/>
        <charset val="134"/>
      </rPr>
      <t>对更新的前方进路信息的有效性宽恕时间（</t>
    </r>
    <r>
      <rPr>
        <sz val="10"/>
        <rFont val="Arial"/>
        <family val="2"/>
      </rPr>
      <t>DMC</t>
    </r>
    <r>
      <rPr>
        <sz val="10"/>
        <rFont val="宋体"/>
        <family val="3"/>
        <charset val="134"/>
      </rPr>
      <t>）</t>
    </r>
    <phoneticPr fontId="1" type="noConversion"/>
  </si>
  <si>
    <r>
      <t>ATP</t>
    </r>
    <r>
      <rPr>
        <sz val="10"/>
        <rFont val="宋体"/>
        <family val="3"/>
        <charset val="134"/>
      </rPr>
      <t>对更新的前方进路信息的有效性宽恕时间（</t>
    </r>
    <r>
      <rPr>
        <sz val="10"/>
        <rFont val="Arial"/>
        <family val="2"/>
      </rPr>
      <t>IMC</t>
    </r>
    <r>
      <rPr>
        <sz val="10"/>
        <rFont val="宋体"/>
        <family val="3"/>
        <charset val="134"/>
      </rPr>
      <t>）点式非基于信标时，与点式</t>
    </r>
    <r>
      <rPr>
        <sz val="10"/>
        <rFont val="Arial"/>
        <family val="2"/>
      </rPr>
      <t>MAL DMC</t>
    </r>
    <r>
      <rPr>
        <sz val="10"/>
        <rFont val="宋体"/>
        <family val="3"/>
        <charset val="134"/>
      </rPr>
      <t>时间相同</t>
    </r>
    <phoneticPr fontId="1" type="noConversion"/>
  </si>
  <si>
    <r>
      <t>ATP</t>
    </r>
    <r>
      <rPr>
        <sz val="10"/>
        <rFont val="宋体"/>
        <family val="3"/>
        <charset val="134"/>
      </rPr>
      <t>所使用的泊车过程中的保护区段有效时间</t>
    </r>
    <phoneticPr fontId="1" type="noConversion"/>
  </si>
  <si>
    <r>
      <rPr>
        <sz val="10"/>
        <rFont val="宋体"/>
        <family val="3"/>
        <charset val="134"/>
      </rPr>
      <t>点式授权超出当前区段部分的最大有效时间。即当</t>
    </r>
    <r>
      <rPr>
        <sz val="10"/>
        <rFont val="Arial"/>
        <family val="2"/>
      </rPr>
      <t>ATP</t>
    </r>
    <r>
      <rPr>
        <sz val="10"/>
        <rFont val="宋体"/>
        <family val="3"/>
        <charset val="134"/>
      </rPr>
      <t>已确认占用进路后，超出此进路的点式移动授权的最大有效时间，时间到期后，点式</t>
    </r>
    <r>
      <rPr>
        <sz val="10"/>
        <rFont val="Arial"/>
        <family val="2"/>
      </rPr>
      <t>MAL</t>
    </r>
    <r>
      <rPr>
        <sz val="10"/>
        <rFont val="宋体"/>
        <family val="3"/>
        <charset val="134"/>
      </rPr>
      <t>应回撤至当前进路终端</t>
    </r>
    <phoneticPr fontId="1" type="noConversion"/>
  </si>
  <si>
    <r>
      <rPr>
        <sz val="10"/>
        <rFont val="宋体"/>
        <family val="3"/>
        <charset val="134"/>
      </rPr>
      <t>在</t>
    </r>
    <r>
      <rPr>
        <sz val="10"/>
        <rFont val="Arial"/>
        <family val="2"/>
      </rPr>
      <t>ATP</t>
    </r>
    <r>
      <rPr>
        <sz val="10"/>
        <rFont val="宋体"/>
        <family val="3"/>
        <charset val="134"/>
      </rPr>
      <t>防护下，可能的列车最大后溜距离</t>
    </r>
    <r>
      <rPr>
        <sz val="10"/>
        <rFont val="Arial"/>
        <family val="2"/>
      </rPr>
      <t xml:space="preserve"> </t>
    </r>
    <phoneticPr fontId="1" type="noConversion"/>
  </si>
  <si>
    <r>
      <t>ATP</t>
    </r>
    <r>
      <rPr>
        <sz val="10"/>
        <rFont val="宋体"/>
        <family val="3"/>
        <charset val="134"/>
      </rPr>
      <t>监督下车辆段列车最大跳跃速度，若该值小于或等于零，表示不满足跳跃安全距离要求，需与运营方沟通确定方案</t>
    </r>
    <phoneticPr fontId="1" type="noConversion"/>
  </si>
  <si>
    <r>
      <t>ATP</t>
    </r>
    <r>
      <rPr>
        <sz val="10"/>
        <rFont val="宋体"/>
        <family val="3"/>
        <charset val="134"/>
      </rPr>
      <t>监督下车辆段列车最大跳跃距离</t>
    </r>
    <phoneticPr fontId="1" type="noConversion"/>
  </si>
  <si>
    <r>
      <t>ATP</t>
    </r>
    <r>
      <rPr>
        <sz val="10"/>
        <rFont val="宋体"/>
        <family val="3"/>
        <charset val="134"/>
      </rPr>
      <t>监督下的开口速度，小于可用性要求最低限速时不可用，应与运营方协商最终方案</t>
    </r>
    <phoneticPr fontId="1" type="noConversion"/>
  </si>
  <si>
    <r>
      <rPr>
        <sz val="10"/>
        <rFont val="Arial "/>
        <charset val="134"/>
      </rPr>
      <t>列车牵引切除至建立可保证</t>
    </r>
    <r>
      <rPr>
        <sz val="10"/>
        <rFont val="Arial"/>
        <family val="2"/>
      </rPr>
      <t>EB</t>
    </r>
    <r>
      <rPr>
        <sz val="10"/>
        <rFont val="Arial "/>
        <charset val="134"/>
      </rPr>
      <t>制动率时间</t>
    </r>
    <phoneticPr fontId="1" type="noConversion"/>
  </si>
  <si>
    <t>V2.5
V2.6
V1.11
V2.7</t>
    <phoneticPr fontId="1" type="noConversion"/>
  </si>
  <si>
    <t>王金磊</t>
    <phoneticPr fontId="1" type="noConversion"/>
  </si>
  <si>
    <t>SA名称</t>
    <phoneticPr fontId="1" type="noConversion"/>
  </si>
  <si>
    <t>SA配置项编号</t>
    <phoneticPr fontId="1" type="noConversion"/>
  </si>
  <si>
    <t>SA版本</t>
    <phoneticPr fontId="1" type="noConversion"/>
  </si>
  <si>
    <t>V0.1.0</t>
    <phoneticPr fontId="1" type="noConversion"/>
  </si>
  <si>
    <t>V0.1.0</t>
    <phoneticPr fontId="1" type="noConversion"/>
  </si>
  <si>
    <t>&lt;SA名称&gt;应用数据设计</t>
    <phoneticPr fontId="1" type="noConversion"/>
  </si>
  <si>
    <r>
      <t>ATP</t>
    </r>
    <r>
      <rPr>
        <sz val="10"/>
        <rFont val="宋体"/>
        <family val="3"/>
        <charset val="134"/>
      </rPr>
      <t>点式</t>
    </r>
    <r>
      <rPr>
        <sz val="10"/>
        <rFont val="Arial"/>
        <family val="2"/>
      </rPr>
      <t>MAL</t>
    </r>
    <r>
      <rPr>
        <sz val="10"/>
        <rFont val="宋体"/>
        <family val="3"/>
        <charset val="134"/>
      </rPr>
      <t>有效时间</t>
    </r>
    <r>
      <rPr>
        <sz val="10"/>
        <rFont val="Arial"/>
        <family val="2"/>
      </rPr>
      <t xml:space="preserve">s(DMC)
</t>
    </r>
    <r>
      <rPr>
        <i/>
        <sz val="10"/>
        <color rgb="FFFF0000"/>
        <rFont val="宋体"/>
        <family val="3"/>
        <charset val="134"/>
      </rPr>
      <t>（工程配置以该值为准）</t>
    </r>
    <phoneticPr fontId="9" type="noConversion"/>
  </si>
  <si>
    <t>CBI_UID</t>
    <phoneticPr fontId="1" type="noConversion"/>
  </si>
  <si>
    <r>
      <rPr>
        <sz val="10"/>
        <rFont val="宋体"/>
        <family val="3"/>
        <charset val="134"/>
      </rPr>
      <t>联锁进路总人解延迟时间</t>
    </r>
    <r>
      <rPr>
        <sz val="10"/>
        <rFont val="Arial"/>
        <family val="2"/>
      </rPr>
      <t xml:space="preserve">s(DMC)
</t>
    </r>
    <r>
      <rPr>
        <i/>
        <sz val="10"/>
        <color rgb="FFFF0000"/>
        <rFont val="宋体"/>
        <family val="3"/>
        <charset val="134"/>
      </rPr>
      <t>（工程配置不得小于该值）</t>
    </r>
    <phoneticPr fontId="9" type="noConversion"/>
  </si>
  <si>
    <r>
      <t>ATP</t>
    </r>
    <r>
      <rPr>
        <sz val="10"/>
        <rFont val="宋体"/>
        <family val="3"/>
        <charset val="134"/>
      </rPr>
      <t>点式</t>
    </r>
    <r>
      <rPr>
        <sz val="10"/>
        <rFont val="Arial"/>
        <family val="2"/>
      </rPr>
      <t>MAL</t>
    </r>
    <r>
      <rPr>
        <sz val="10"/>
        <rFont val="宋体"/>
        <family val="3"/>
        <charset val="134"/>
      </rPr>
      <t>有效时间</t>
    </r>
    <r>
      <rPr>
        <sz val="10"/>
        <rFont val="Arial"/>
        <family val="2"/>
      </rPr>
      <t xml:space="preserve">s(IMC)
</t>
    </r>
    <r>
      <rPr>
        <i/>
        <sz val="10"/>
        <color rgb="FFFF0000"/>
        <rFont val="宋体"/>
        <family val="3"/>
        <charset val="134"/>
      </rPr>
      <t>（工程配置以该值为准）</t>
    </r>
    <phoneticPr fontId="9" type="noConversion"/>
  </si>
  <si>
    <r>
      <rPr>
        <sz val="10"/>
        <rFont val="宋体"/>
        <family val="3"/>
        <charset val="134"/>
      </rPr>
      <t>联锁进路总人解延迟时间</t>
    </r>
    <r>
      <rPr>
        <sz val="10"/>
        <rFont val="Arial"/>
        <family val="2"/>
      </rPr>
      <t xml:space="preserve">s(IMC)
</t>
    </r>
    <r>
      <rPr>
        <i/>
        <sz val="10"/>
        <color rgb="FFFF0000"/>
        <rFont val="宋体"/>
        <family val="3"/>
        <charset val="134"/>
      </rPr>
      <t>（工程配置不得小于该值）</t>
    </r>
    <phoneticPr fontId="9" type="noConversion"/>
  </si>
  <si>
    <r>
      <rPr>
        <sz val="10"/>
        <rFont val="宋体"/>
        <family val="3"/>
        <charset val="134"/>
      </rPr>
      <t>泊车过程中</t>
    </r>
    <r>
      <rPr>
        <sz val="10"/>
        <rFont val="Arial"/>
        <family val="2"/>
      </rPr>
      <t>ATP</t>
    </r>
    <r>
      <rPr>
        <sz val="10"/>
        <rFont val="宋体"/>
        <family val="3"/>
        <charset val="134"/>
      </rPr>
      <t>保护区段有效时间</t>
    </r>
    <r>
      <rPr>
        <sz val="10"/>
        <rFont val="Arial"/>
        <family val="2"/>
      </rPr>
      <t xml:space="preserve"> s
</t>
    </r>
    <r>
      <rPr>
        <i/>
        <sz val="10"/>
        <color rgb="FFFF0000"/>
        <rFont val="宋体"/>
        <family val="3"/>
        <charset val="134"/>
      </rPr>
      <t>（工程配置以该值为准）</t>
    </r>
    <phoneticPr fontId="9" type="noConversion"/>
  </si>
  <si>
    <r>
      <rPr>
        <sz val="10"/>
        <rFont val="宋体"/>
        <family val="3"/>
        <charset val="134"/>
      </rPr>
      <t>保护区段泊车区段预取消时间</t>
    </r>
    <r>
      <rPr>
        <sz val="10"/>
        <rFont val="Arial"/>
        <family val="2"/>
      </rPr>
      <t xml:space="preserve">s
</t>
    </r>
    <r>
      <rPr>
        <i/>
        <sz val="10"/>
        <color rgb="FFFF0000"/>
        <rFont val="宋体"/>
        <family val="3"/>
        <charset val="134"/>
      </rPr>
      <t>（工程配置不得小于该值）</t>
    </r>
    <phoneticPr fontId="9" type="noConversion"/>
  </si>
  <si>
    <r>
      <rPr>
        <sz val="10"/>
        <rFont val="宋体"/>
        <family val="3"/>
        <charset val="134"/>
      </rPr>
      <t>轧入进路后</t>
    </r>
    <r>
      <rPr>
        <sz val="10"/>
        <rFont val="Arial"/>
        <family val="2"/>
      </rPr>
      <t>ATP</t>
    </r>
    <r>
      <rPr>
        <sz val="10"/>
        <rFont val="宋体"/>
        <family val="3"/>
        <charset val="134"/>
      </rPr>
      <t>保护区段最大有效时间</t>
    </r>
    <r>
      <rPr>
        <sz val="10"/>
        <rFont val="Arial"/>
        <family val="2"/>
      </rPr>
      <t xml:space="preserve">s 
</t>
    </r>
    <r>
      <rPr>
        <i/>
        <sz val="10"/>
        <color rgb="FFFF0000"/>
        <rFont val="宋体"/>
        <family val="3"/>
        <charset val="134"/>
      </rPr>
      <t>（工程配置以该值为准）</t>
    </r>
    <phoneticPr fontId="9" type="noConversion"/>
  </si>
  <si>
    <r>
      <rPr>
        <sz val="10"/>
        <rFont val="宋体"/>
        <family val="3"/>
        <charset val="134"/>
      </rPr>
      <t>保护区段进路总取消时间</t>
    </r>
    <r>
      <rPr>
        <sz val="10"/>
        <rFont val="Arial"/>
        <family val="2"/>
      </rPr>
      <t xml:space="preserve">s
</t>
    </r>
    <r>
      <rPr>
        <i/>
        <sz val="10"/>
        <color rgb="FFFF0000"/>
        <rFont val="宋体"/>
        <family val="3"/>
        <charset val="134"/>
      </rPr>
      <t>（工程配置不得小于该值）</t>
    </r>
    <phoneticPr fontId="9" type="noConversion"/>
  </si>
  <si>
    <r>
      <rPr>
        <sz val="10"/>
        <rFont val="宋体"/>
        <family val="3"/>
        <charset val="134"/>
      </rPr>
      <t>引导进路延迟解锁时间</t>
    </r>
    <r>
      <rPr>
        <sz val="10"/>
        <rFont val="Arial"/>
        <family val="2"/>
      </rPr>
      <t xml:space="preserve">s
</t>
    </r>
    <r>
      <rPr>
        <i/>
        <sz val="10"/>
        <color rgb="FFFF0000"/>
        <rFont val="宋体"/>
        <family val="3"/>
        <charset val="134"/>
      </rPr>
      <t>（工程配置不得小于该值）</t>
    </r>
    <phoneticPr fontId="9" type="noConversion"/>
  </si>
  <si>
    <t>RouteName</t>
    <phoneticPr fontId="9" type="noConversion"/>
  </si>
  <si>
    <t>StartSignal</t>
    <phoneticPr fontId="9" type="noConversion"/>
  </si>
  <si>
    <t>EndSignal</t>
    <phoneticPr fontId="9" type="noConversion"/>
  </si>
  <si>
    <t>RouteLength</t>
    <phoneticPr fontId="9" type="noConversion"/>
  </si>
  <si>
    <t>ApSR</t>
    <phoneticPr fontId="9" type="noConversion"/>
  </si>
  <si>
    <t>MaxSR</t>
    <phoneticPr fontId="9" type="noConversion"/>
  </si>
  <si>
    <t>WorstApGrade</t>
    <phoneticPr fontId="9" type="noConversion"/>
  </si>
  <si>
    <t>AvgApGrade</t>
    <phoneticPr fontId="9" type="noConversion"/>
  </si>
  <si>
    <t>RouteWorstGrade</t>
    <phoneticPr fontId="9" type="noConversion"/>
  </si>
  <si>
    <t>IATPCommType</t>
    <phoneticPr fontId="9" type="noConversion"/>
  </si>
  <si>
    <t>Previewer</t>
    <phoneticPr fontId="9" type="noConversion"/>
  </si>
  <si>
    <t>PreviewDist</t>
    <phoneticPr fontId="9" type="noConversion"/>
  </si>
  <si>
    <t>ApBeacon</t>
    <phoneticPr fontId="9" type="noConversion"/>
  </si>
  <si>
    <t>ApBcn2Axel</t>
    <phoneticPr fontId="9" type="noConversion"/>
  </si>
  <si>
    <t>BerthSection</t>
    <phoneticPr fontId="9" type="noConversion"/>
  </si>
  <si>
    <t>WellTime</t>
    <phoneticPr fontId="9" type="noConversion"/>
  </si>
  <si>
    <t>BerthSectLen</t>
    <phoneticPr fontId="9" type="noConversion"/>
  </si>
  <si>
    <t>BerthSectWorstGrade</t>
    <phoneticPr fontId="9" type="noConversion"/>
  </si>
  <si>
    <t>OL</t>
    <phoneticPr fontId="9" type="noConversion"/>
  </si>
  <si>
    <t>isOverLockZone</t>
    <phoneticPr fontId="9" type="noConversion"/>
  </si>
  <si>
    <t>O_ApLength</t>
    <phoneticPr fontId="9" type="noConversion"/>
  </si>
  <si>
    <t>CFG_T_ROUTE_VALID_DMC</t>
    <phoneticPr fontId="9" type="noConversion"/>
  </si>
  <si>
    <t>CFG_T_LCROUTE_RELEASE_DMC</t>
    <phoneticPr fontId="9" type="noConversion"/>
  </si>
  <si>
    <t>CFG_T_ROUTE_VALID_IMC</t>
    <phoneticPr fontId="9" type="noConversion"/>
  </si>
  <si>
    <t>CFG_T_LCROUTE_RELEASE_IMC</t>
    <phoneticPr fontId="9" type="noConversion"/>
  </si>
  <si>
    <t>SPKS_ACT_TIME</t>
    <phoneticPr fontId="9" type="noConversion"/>
  </si>
  <si>
    <t>CFG_T_OVERLAP_VALID_BERTH</t>
    <phoneticPr fontId="9" type="noConversion"/>
  </si>
  <si>
    <t>CFG_T_BERTHSEC_OVERLAP_RELEASE</t>
    <phoneticPr fontId="9" type="noConversion"/>
  </si>
  <si>
    <t>CFG_T_YDROUTE_RELEASE</t>
    <phoneticPr fontId="9" type="noConversion"/>
  </si>
  <si>
    <t>CFG_T_OVERLAP_VALID_ROUTE</t>
    <phoneticPr fontId="9" type="noConversion"/>
  </si>
  <si>
    <t>CFG_T_ROUTE_OVERLAP_RELEASE</t>
    <phoneticPr fontId="9" type="noConversion"/>
  </si>
  <si>
    <t>1</t>
    <phoneticPr fontId="1" type="noConversion"/>
  </si>
  <si>
    <t>2</t>
    <phoneticPr fontId="1" type="noConversion"/>
  </si>
  <si>
    <t>Equip</t>
    <phoneticPr fontId="9" type="noConversion"/>
  </si>
  <si>
    <t>类型</t>
    <phoneticPr fontId="1" type="noConversion"/>
  </si>
  <si>
    <t>类型</t>
    <phoneticPr fontId="1" type="noConversion"/>
  </si>
  <si>
    <t>Vehicle</t>
    <phoneticPr fontId="1" type="noConversion"/>
  </si>
  <si>
    <t>Veh_Marshal</t>
    <phoneticPr fontId="1" type="noConversion"/>
  </si>
  <si>
    <t>Equ_BeaconWriteDelay</t>
    <phoneticPr fontId="9" type="noConversion"/>
  </si>
  <si>
    <t>配置值</t>
    <phoneticPr fontId="1" type="noConversion"/>
  </si>
  <si>
    <t>1.2</t>
    <phoneticPr fontId="1" type="noConversion"/>
  </si>
  <si>
    <t>Veh_Gebr</t>
    <phoneticPr fontId="1" type="noConversion"/>
  </si>
  <si>
    <t>参数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</si>
</sst>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28">
    <font>
      <sz val="11"/>
      <color theme="1"/>
      <name val="宋体"/>
      <family val="2"/>
      <charset val="134"/>
      <scheme val="minor"/>
    </font>
    <font>
      <sz val="9"/>
      <name val="宋体"/>
      <family val="2"/>
      <charset val="134"/>
      <scheme val="minor"/>
    </font>
    <font>
      <sz val="11"/>
      <color theme="1"/>
      <name val="Arial"/>
      <family val="2"/>
    </font>
    <font>
      <sz val="11"/>
      <color theme="1"/>
      <name val="宋体"/>
      <family val="3"/>
      <charset val="134"/>
      <scheme val="minor"/>
    </font>
    <font>
      <b/>
      <sz val="10"/>
      <color theme="1"/>
      <name val="宋体"/>
      <family val="3"/>
      <charset val="134"/>
    </font>
    <font>
      <b/>
      <sz val="10"/>
      <color theme="1"/>
      <name val="Arial"/>
      <family val="2"/>
    </font>
    <font>
      <b/>
      <sz val="10"/>
      <color theme="1"/>
      <name val="宋体"/>
      <family val="2"/>
      <charset val="134"/>
    </font>
    <font>
      <sz val="10"/>
      <color theme="1"/>
      <name val="宋体"/>
      <family val="3"/>
      <charset val="134"/>
    </font>
    <font>
      <sz val="10"/>
      <color theme="1"/>
      <name val="Arial"/>
      <family val="2"/>
    </font>
    <font>
      <sz val="9"/>
      <name val="宋体"/>
      <family val="3"/>
      <charset val="134"/>
      <scheme val="minor"/>
    </font>
    <font>
      <sz val="10"/>
      <name val="Arial"/>
      <family val="2"/>
    </font>
    <font>
      <sz val="10"/>
      <name val="宋体"/>
      <family val="3"/>
      <charset val="134"/>
    </font>
    <font>
      <sz val="10"/>
      <color rgb="FFFF0000"/>
      <name val="宋体"/>
      <family val="3"/>
      <charset val="134"/>
    </font>
    <font>
      <i/>
      <sz val="10"/>
      <color rgb="FFFF0000"/>
      <name val="Arial"/>
      <family val="2"/>
    </font>
    <font>
      <sz val="10"/>
      <color theme="1"/>
      <name val="宋体"/>
      <family val="2"/>
      <charset val="134"/>
      <scheme val="minor"/>
    </font>
    <font>
      <i/>
      <sz val="10"/>
      <color rgb="FFFF0000"/>
      <name val="宋体"/>
      <family val="3"/>
      <charset val="134"/>
    </font>
    <font>
      <sz val="12"/>
      <name val="宋体"/>
      <family val="3"/>
      <charset val="134"/>
    </font>
    <font>
      <sz val="10"/>
      <color indexed="81"/>
      <name val="宋体"/>
      <family val="3"/>
      <charset val="134"/>
    </font>
    <font>
      <b/>
      <sz val="10"/>
      <color indexed="81"/>
      <name val="宋体"/>
      <family val="3"/>
      <charset val="134"/>
    </font>
    <font>
      <b/>
      <sz val="10"/>
      <name val="宋体"/>
      <family val="3"/>
      <charset val="134"/>
    </font>
    <font>
      <sz val="10"/>
      <name val="Times New Roman"/>
      <family val="1"/>
    </font>
    <font>
      <sz val="11"/>
      <name val="宋体"/>
      <family val="3"/>
      <charset val="134"/>
    </font>
    <font>
      <sz val="11"/>
      <name val="Arial"/>
      <family val="2"/>
    </font>
    <font>
      <b/>
      <sz val="10"/>
      <name val="Arial"/>
      <family val="2"/>
    </font>
    <font>
      <b/>
      <sz val="10"/>
      <name val="宋体"/>
      <family val="2"/>
      <charset val="134"/>
    </font>
    <font>
      <sz val="10"/>
      <name val="宋体"/>
      <family val="2"/>
      <charset val="134"/>
    </font>
    <font>
      <sz val="11"/>
      <name val="宋体"/>
      <family val="2"/>
      <charset val="134"/>
      <scheme val="minor"/>
    </font>
    <font>
      <sz val="10"/>
      <name val="Arial "/>
      <charset val="134"/>
    </font>
  </fonts>
  <fills count="9">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indexed="4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alignment vertical="center"/>
    </xf>
    <xf numFmtId="0" fontId="3" fillId="0" borderId="0"/>
    <xf numFmtId="0" fontId="3" fillId="0" borderId="0"/>
    <xf numFmtId="0" fontId="3" fillId="0" borderId="0">
      <alignment vertical="center"/>
    </xf>
    <xf numFmtId="0" fontId="16" fillId="0" borderId="0"/>
  </cellStyleXfs>
  <cellXfs count="143">
    <xf numFmtId="0" fontId="0" fillId="0" borderId="0" xfId="0">
      <alignment vertical="center"/>
    </xf>
    <xf numFmtId="0" fontId="2" fillId="0" borderId="0" xfId="0" applyFont="1">
      <alignment vertical="center"/>
    </xf>
    <xf numFmtId="0" fontId="8" fillId="0" borderId="1" xfId="0" applyFont="1" applyBorder="1">
      <alignment vertical="center"/>
    </xf>
    <xf numFmtId="49" fontId="2" fillId="0" borderId="0" xfId="0" applyNumberFormat="1" applyFont="1">
      <alignment vertical="center"/>
    </xf>
    <xf numFmtId="49" fontId="8" fillId="0" borderId="1" xfId="0" applyNumberFormat="1" applyFont="1" applyFill="1" applyBorder="1">
      <alignment vertical="center"/>
    </xf>
    <xf numFmtId="49" fontId="10" fillId="0" borderId="1" xfId="0" applyNumberFormat="1" applyFont="1" applyFill="1" applyBorder="1" applyAlignment="1">
      <alignment horizontal="left" vertical="center"/>
    </xf>
    <xf numFmtId="49" fontId="5" fillId="3" borderId="1" xfId="0" applyNumberFormat="1" applyFont="1" applyFill="1" applyBorder="1" applyAlignment="1" applyProtection="1">
      <alignment horizontal="left" vertical="center" wrapText="1"/>
      <protection hidden="1"/>
    </xf>
    <xf numFmtId="49" fontId="8" fillId="0" borderId="1" xfId="0" applyNumberFormat="1" applyFont="1" applyFill="1" applyBorder="1" applyAlignment="1">
      <alignment vertical="center" wrapText="1"/>
    </xf>
    <xf numFmtId="0" fontId="2" fillId="0" borderId="0" xfId="0" applyFont="1" applyFill="1">
      <alignment vertical="center"/>
    </xf>
    <xf numFmtId="49" fontId="2" fillId="0" borderId="0" xfId="0" applyNumberFormat="1" applyFont="1" applyAlignment="1">
      <alignment horizontal="left" vertical="center"/>
    </xf>
    <xf numFmtId="0" fontId="2" fillId="0" borderId="0" xfId="0" applyFont="1" applyAlignment="1">
      <alignment vertical="center" wrapText="1"/>
    </xf>
    <xf numFmtId="49" fontId="8" fillId="0" borderId="1" xfId="0" applyNumberFormat="1" applyFont="1" applyFill="1" applyBorder="1" applyAlignment="1">
      <alignment horizontal="center" vertical="center"/>
    </xf>
    <xf numFmtId="49" fontId="11" fillId="3" borderId="2" xfId="0" applyNumberFormat="1" applyFont="1" applyFill="1" applyBorder="1" applyAlignment="1" applyProtection="1">
      <alignment horizontal="center" vertical="center" wrapText="1"/>
      <protection locked="0"/>
    </xf>
    <xf numFmtId="0" fontId="10" fillId="0" borderId="1" xfId="0" applyFont="1" applyFill="1" applyBorder="1" applyAlignment="1">
      <alignment vertical="center"/>
    </xf>
    <xf numFmtId="0" fontId="14" fillId="0" borderId="0" xfId="0" applyFont="1">
      <alignment vertical="center"/>
    </xf>
    <xf numFmtId="49" fontId="10" fillId="3" borderId="2" xfId="0" applyNumberFormat="1" applyFont="1" applyFill="1" applyBorder="1" applyAlignment="1" applyProtection="1">
      <alignment horizontal="center" vertical="center" wrapText="1"/>
      <protection locked="0"/>
    </xf>
    <xf numFmtId="49" fontId="7" fillId="3" borderId="2" xfId="0" applyNumberFormat="1" applyFont="1" applyFill="1" applyBorder="1" applyAlignment="1" applyProtection="1">
      <alignment horizontal="center" vertical="center" wrapText="1"/>
      <protection locked="0"/>
    </xf>
    <xf numFmtId="49" fontId="8" fillId="3" borderId="2" xfId="0" applyNumberFormat="1" applyFont="1" applyFill="1" applyBorder="1" applyAlignment="1" applyProtection="1">
      <alignment horizontal="center" vertical="center" wrapText="1"/>
      <protection locked="0"/>
    </xf>
    <xf numFmtId="49" fontId="0" fillId="0" borderId="0" xfId="0" applyNumberFormat="1">
      <alignment vertical="center"/>
    </xf>
    <xf numFmtId="49" fontId="4" fillId="3" borderId="1" xfId="0" applyNumberFormat="1" applyFont="1" applyFill="1" applyBorder="1" applyAlignment="1" applyProtection="1">
      <alignment horizontal="left" vertical="center" wrapText="1"/>
      <protection hidden="1"/>
    </xf>
    <xf numFmtId="49" fontId="11" fillId="0" borderId="1" xfId="0" applyNumberFormat="1" applyFont="1" applyFill="1" applyBorder="1" applyAlignment="1">
      <alignment horizontal="left" vertical="center"/>
    </xf>
    <xf numFmtId="49" fontId="10" fillId="3" borderId="2" xfId="0" applyNumberFormat="1" applyFont="1" applyFill="1" applyBorder="1" applyAlignment="1" applyProtection="1">
      <alignment horizontal="center" vertical="center" wrapText="1"/>
      <protection hidden="1"/>
    </xf>
    <xf numFmtId="49" fontId="8" fillId="4" borderId="1" xfId="0" applyNumberFormat="1" applyFont="1" applyFill="1" applyBorder="1" applyAlignment="1">
      <alignment horizontal="center"/>
    </xf>
    <xf numFmtId="49" fontId="8" fillId="4" borderId="1" xfId="1" applyNumberFormat="1" applyFont="1" applyFill="1" applyBorder="1" applyAlignment="1">
      <alignment horizontal="center" vertical="center"/>
    </xf>
    <xf numFmtId="49" fontId="8" fillId="4" borderId="1" xfId="1" applyNumberFormat="1" applyFont="1" applyFill="1" applyBorder="1" applyAlignment="1" applyProtection="1">
      <alignment horizontal="center" vertical="center"/>
      <protection locked="0"/>
    </xf>
    <xf numFmtId="49" fontId="8" fillId="4" borderId="1" xfId="2" applyNumberFormat="1" applyFont="1" applyFill="1" applyBorder="1" applyAlignment="1">
      <alignment horizontal="center" vertical="center"/>
    </xf>
    <xf numFmtId="49" fontId="10" fillId="4" borderId="1" xfId="2" applyNumberFormat="1" applyFont="1" applyFill="1" applyBorder="1" applyAlignment="1">
      <alignment horizontal="center" vertical="center"/>
    </xf>
    <xf numFmtId="49" fontId="10" fillId="4" borderId="1" xfId="2" applyNumberFormat="1" applyFont="1" applyFill="1" applyBorder="1" applyAlignment="1">
      <alignment horizontal="center" vertical="center" wrapText="1"/>
    </xf>
    <xf numFmtId="49" fontId="8" fillId="2" borderId="1" xfId="1" applyNumberFormat="1" applyFont="1" applyFill="1" applyBorder="1" applyAlignment="1" applyProtection="1">
      <alignment horizontal="center" vertical="center" wrapText="1"/>
      <protection hidden="1"/>
    </xf>
    <xf numFmtId="49" fontId="8" fillId="0" borderId="1" xfId="2" applyNumberFormat="1" applyFont="1" applyFill="1" applyBorder="1" applyAlignment="1" applyProtection="1">
      <alignment horizontal="center" vertical="center" wrapText="1"/>
      <protection hidden="1"/>
    </xf>
    <xf numFmtId="49" fontId="8" fillId="0" borderId="1" xfId="1" applyNumberFormat="1" applyFont="1" applyFill="1" applyBorder="1" applyAlignment="1" applyProtection="1">
      <alignment horizontal="center" vertical="center" wrapText="1"/>
      <protection hidden="1"/>
    </xf>
    <xf numFmtId="49" fontId="10" fillId="3" borderId="1" xfId="0" applyNumberFormat="1" applyFont="1" applyFill="1" applyBorder="1" applyAlignment="1" applyProtection="1">
      <alignment horizontal="left" vertical="center" wrapText="1"/>
      <protection hidden="1"/>
    </xf>
    <xf numFmtId="49" fontId="10" fillId="4" borderId="1" xfId="0" applyNumberFormat="1" applyFont="1" applyFill="1" applyBorder="1" applyAlignment="1" applyProtection="1">
      <alignment horizontal="left" vertical="center" wrapText="1"/>
      <protection hidden="1"/>
    </xf>
    <xf numFmtId="49" fontId="11" fillId="3" borderId="1" xfId="0" applyNumberFormat="1" applyFont="1" applyFill="1" applyBorder="1" applyAlignment="1" applyProtection="1">
      <alignment horizontal="left" vertical="center" wrapText="1"/>
      <protection hidden="1"/>
    </xf>
    <xf numFmtId="176" fontId="10" fillId="0" borderId="1" xfId="0" applyNumberFormat="1" applyFont="1" applyFill="1" applyBorder="1" applyAlignment="1" applyProtection="1">
      <alignment horizontal="left" vertical="center" wrapText="1"/>
      <protection hidden="1"/>
    </xf>
    <xf numFmtId="0" fontId="8" fillId="0" borderId="1" xfId="0" applyNumberFormat="1" applyFont="1" applyBorder="1">
      <alignment vertical="center"/>
    </xf>
    <xf numFmtId="0" fontId="8" fillId="0" borderId="1" xfId="0" applyNumberFormat="1" applyFont="1" applyBorder="1" applyAlignment="1">
      <alignment horizontal="left" vertical="center" wrapText="1"/>
    </xf>
    <xf numFmtId="0" fontId="8" fillId="0" borderId="1" xfId="0" applyNumberFormat="1" applyFont="1" applyBorder="1" applyAlignment="1">
      <alignment vertical="center" wrapText="1"/>
    </xf>
    <xf numFmtId="0" fontId="8" fillId="0" borderId="0" xfId="0" applyFont="1" applyBorder="1" applyAlignment="1">
      <alignment horizontal="center" vertical="center" wrapText="1"/>
    </xf>
    <xf numFmtId="0" fontId="8" fillId="0" borderId="0" xfId="0" applyNumberFormat="1" applyFont="1" applyBorder="1" applyAlignment="1">
      <alignment horizontal="left" vertical="center" wrapText="1"/>
    </xf>
    <xf numFmtId="0" fontId="8" fillId="0" borderId="0" xfId="0" applyNumberFormat="1" applyFont="1" applyBorder="1" applyAlignment="1">
      <alignment vertical="center" wrapText="1"/>
    </xf>
    <xf numFmtId="0" fontId="8" fillId="0" borderId="0" xfId="0" applyNumberFormat="1" applyFont="1" applyBorder="1" applyAlignment="1">
      <alignment vertical="center"/>
    </xf>
    <xf numFmtId="49" fontId="8" fillId="6" borderId="1" xfId="1" applyNumberFormat="1" applyFont="1" applyFill="1" applyBorder="1" applyAlignment="1" applyProtection="1">
      <alignment horizontal="center" vertical="center" wrapText="1"/>
      <protection hidden="1"/>
    </xf>
    <xf numFmtId="49" fontId="2" fillId="0" borderId="0" xfId="0" applyNumberFormat="1" applyFont="1" applyAlignment="1">
      <alignment horizontal="center" vertical="center"/>
    </xf>
    <xf numFmtId="49" fontId="8" fillId="0" borderId="0" xfId="0" applyNumberFormat="1" applyFont="1" applyAlignment="1">
      <alignment horizontal="center"/>
    </xf>
    <xf numFmtId="49" fontId="2" fillId="0" borderId="0" xfId="0" applyNumberFormat="1" applyFont="1" applyFill="1">
      <alignment vertical="center"/>
    </xf>
    <xf numFmtId="177" fontId="0" fillId="0" borderId="0" xfId="0" applyNumberFormat="1">
      <alignment vertical="center"/>
    </xf>
    <xf numFmtId="0" fontId="8" fillId="0" borderId="0" xfId="0" applyFont="1">
      <alignment vertical="center"/>
    </xf>
    <xf numFmtId="176" fontId="2" fillId="0" borderId="0" xfId="0" applyNumberFormat="1" applyFont="1" applyAlignment="1">
      <alignment horizontal="center" vertical="center"/>
    </xf>
    <xf numFmtId="176" fontId="2" fillId="0" borderId="0" xfId="0" applyNumberFormat="1" applyFont="1" applyFill="1" applyAlignment="1">
      <alignment horizontal="center" vertical="center"/>
    </xf>
    <xf numFmtId="49" fontId="8" fillId="4" borderId="1" xfId="0" applyNumberFormat="1" applyFont="1" applyFill="1" applyBorder="1" applyAlignment="1" applyProtection="1">
      <alignment horizontal="center"/>
    </xf>
    <xf numFmtId="49" fontId="8" fillId="2" borderId="1" xfId="1" applyNumberFormat="1" applyFont="1" applyFill="1" applyBorder="1" applyAlignment="1" applyProtection="1">
      <alignment horizontal="center" vertical="center" wrapText="1"/>
      <protection hidden="1"/>
    </xf>
    <xf numFmtId="49" fontId="8" fillId="0" borderId="1" xfId="2" applyNumberFormat="1" applyFont="1" applyFill="1" applyBorder="1" applyAlignment="1" applyProtection="1">
      <alignment horizontal="center" vertical="center" wrapText="1"/>
      <protection hidden="1"/>
    </xf>
    <xf numFmtId="49" fontId="10" fillId="4" borderId="1" xfId="0" applyNumberFormat="1" applyFont="1" applyFill="1" applyBorder="1" applyAlignment="1">
      <alignment horizontal="center" vertical="center"/>
    </xf>
    <xf numFmtId="177" fontId="11" fillId="3" borderId="2" xfId="0" applyNumberFormat="1" applyFont="1" applyFill="1" applyBorder="1" applyAlignment="1" applyProtection="1">
      <alignment horizontal="center" vertical="center" wrapText="1"/>
      <protection locked="0"/>
    </xf>
    <xf numFmtId="49" fontId="11" fillId="3" borderId="2" xfId="0" applyNumberFormat="1" applyFont="1" applyFill="1" applyBorder="1" applyAlignment="1" applyProtection="1">
      <alignment horizontal="center" vertical="center" wrapText="1"/>
      <protection hidden="1"/>
    </xf>
    <xf numFmtId="49" fontId="10" fillId="0" borderId="1" xfId="0" applyNumberFormat="1" applyFont="1" applyFill="1" applyBorder="1" applyAlignment="1" applyProtection="1">
      <alignment horizontal="left" vertical="center"/>
    </xf>
    <xf numFmtId="49" fontId="19" fillId="0" borderId="0" xfId="4" applyNumberFormat="1" applyFont="1" applyAlignment="1">
      <alignment horizontal="center" vertical="center"/>
    </xf>
    <xf numFmtId="0" fontId="19" fillId="0" borderId="0" xfId="4" applyFont="1" applyAlignment="1">
      <alignment horizontal="center" vertical="center"/>
    </xf>
    <xf numFmtId="0" fontId="19" fillId="0" borderId="6" xfId="4" applyFont="1" applyBorder="1" applyAlignment="1">
      <alignment horizontal="center" vertical="center"/>
    </xf>
    <xf numFmtId="0" fontId="19" fillId="0" borderId="7" xfId="4" applyFont="1" applyBorder="1" applyAlignment="1">
      <alignment horizontal="center" vertical="center"/>
    </xf>
    <xf numFmtId="0" fontId="19" fillId="8" borderId="12" xfId="4" applyFont="1" applyFill="1" applyBorder="1" applyAlignment="1">
      <alignment horizontal="center" vertical="center"/>
    </xf>
    <xf numFmtId="0" fontId="20" fillId="0" borderId="0" xfId="4" applyFont="1" applyAlignment="1">
      <alignment horizontal="center" vertical="center"/>
    </xf>
    <xf numFmtId="0" fontId="19" fillId="8" borderId="4" xfId="4" applyFont="1" applyFill="1" applyBorder="1" applyAlignment="1">
      <alignment horizontal="center" vertical="center"/>
    </xf>
    <xf numFmtId="0" fontId="20" fillId="0" borderId="0" xfId="4" applyFont="1" applyFill="1" applyAlignment="1">
      <alignment horizontal="center" vertical="center"/>
    </xf>
    <xf numFmtId="0" fontId="19" fillId="0" borderId="9" xfId="4" applyFont="1" applyBorder="1" applyAlignment="1">
      <alignment horizontal="center" vertical="center"/>
    </xf>
    <xf numFmtId="0" fontId="19" fillId="0" borderId="10" xfId="4" applyFont="1" applyBorder="1" applyAlignment="1">
      <alignment horizontal="center" vertical="center"/>
    </xf>
    <xf numFmtId="0" fontId="19" fillId="8" borderId="11" xfId="4" applyFont="1" applyFill="1" applyBorder="1" applyAlignment="1">
      <alignment horizontal="center" vertical="center"/>
    </xf>
    <xf numFmtId="49" fontId="20" fillId="0" borderId="0" xfId="4" applyNumberFormat="1" applyFont="1" applyAlignment="1">
      <alignment horizontal="center" vertical="center"/>
    </xf>
    <xf numFmtId="0" fontId="4" fillId="3" borderId="1" xfId="0" applyFont="1" applyFill="1" applyBorder="1">
      <alignment vertical="center"/>
    </xf>
    <xf numFmtId="0" fontId="5" fillId="3" borderId="1" xfId="0" applyFont="1" applyFill="1" applyBorder="1">
      <alignment vertical="center"/>
    </xf>
    <xf numFmtId="0" fontId="14" fillId="0" borderId="1" xfId="0" applyFont="1" applyBorder="1">
      <alignment vertical="center"/>
    </xf>
    <xf numFmtId="0" fontId="7" fillId="0" borderId="1" xfId="0" applyFont="1" applyBorder="1">
      <alignment vertical="center"/>
    </xf>
    <xf numFmtId="0" fontId="7" fillId="0" borderId="1" xfId="0" applyFont="1" applyBorder="1" applyAlignment="1">
      <alignment vertical="center" wrapText="1"/>
    </xf>
    <xf numFmtId="14" fontId="8" fillId="0" borderId="1" xfId="0" applyNumberFormat="1" applyFont="1" applyBorder="1" applyAlignment="1">
      <alignment horizontal="left" vertical="center"/>
    </xf>
    <xf numFmtId="0" fontId="10" fillId="5" borderId="1" xfId="0" applyFont="1" applyFill="1" applyBorder="1">
      <alignment vertical="center"/>
    </xf>
    <xf numFmtId="0" fontId="8" fillId="0" borderId="1" xfId="0" applyFont="1" applyBorder="1" applyAlignment="1">
      <alignment vertical="center" wrapText="1"/>
    </xf>
    <xf numFmtId="0" fontId="7" fillId="0" borderId="1" xfId="0" applyFont="1" applyFill="1" applyBorder="1">
      <alignment vertical="center"/>
    </xf>
    <xf numFmtId="49" fontId="10" fillId="0" borderId="1" xfId="0" applyNumberFormat="1" applyFont="1" applyFill="1" applyBorder="1" applyAlignment="1">
      <alignment horizontal="left" vertical="center" wrapText="1"/>
    </xf>
    <xf numFmtId="0" fontId="10" fillId="0" borderId="1" xfId="0" applyFont="1" applyBorder="1" applyAlignment="1">
      <alignment vertical="center" wrapText="1"/>
    </xf>
    <xf numFmtId="0" fontId="10" fillId="0" borderId="0" xfId="0" applyFont="1">
      <alignment vertical="center"/>
    </xf>
    <xf numFmtId="0" fontId="21" fillId="0" borderId="1" xfId="0" applyFont="1" applyBorder="1" applyAlignment="1">
      <alignment horizontal="left" vertical="center"/>
    </xf>
    <xf numFmtId="0" fontId="22" fillId="0" borderId="1" xfId="0" applyFont="1" applyBorder="1" applyAlignment="1">
      <alignment horizontal="left" vertical="center"/>
    </xf>
    <xf numFmtId="49" fontId="23" fillId="3" borderId="1" xfId="0" applyNumberFormat="1" applyFont="1" applyFill="1" applyBorder="1" applyAlignment="1" applyProtection="1">
      <alignment horizontal="left" vertical="center" wrapText="1"/>
      <protection hidden="1"/>
    </xf>
    <xf numFmtId="49" fontId="10" fillId="0" borderId="1" xfId="0" applyNumberFormat="1" applyFont="1" applyFill="1" applyBorder="1" applyAlignment="1">
      <alignment horizontal="center" vertical="center"/>
    </xf>
    <xf numFmtId="49" fontId="10" fillId="0" borderId="1" xfId="0" applyNumberFormat="1" applyFont="1" applyFill="1" applyBorder="1">
      <alignment vertical="center"/>
    </xf>
    <xf numFmtId="49" fontId="10" fillId="0" borderId="1" xfId="0" applyNumberFormat="1" applyFont="1" applyFill="1" applyBorder="1" applyAlignment="1">
      <alignment vertical="center" wrapText="1"/>
    </xf>
    <xf numFmtId="49" fontId="11" fillId="0" borderId="1" xfId="0" applyNumberFormat="1" applyFont="1" applyFill="1" applyBorder="1">
      <alignment vertical="center"/>
    </xf>
    <xf numFmtId="49" fontId="11" fillId="0" borderId="1" xfId="0" applyNumberFormat="1" applyFont="1" applyFill="1" applyBorder="1" applyAlignment="1">
      <alignment vertical="center" wrapText="1"/>
    </xf>
    <xf numFmtId="49" fontId="25" fillId="0" borderId="1" xfId="0" applyNumberFormat="1" applyFont="1" applyFill="1" applyBorder="1">
      <alignment vertical="center"/>
    </xf>
    <xf numFmtId="49" fontId="25" fillId="0" borderId="1" xfId="0" applyNumberFormat="1" applyFont="1" applyFill="1" applyBorder="1" applyAlignment="1">
      <alignment vertical="center" wrapText="1"/>
    </xf>
    <xf numFmtId="49" fontId="19" fillId="3" borderId="1" xfId="0" applyNumberFormat="1" applyFont="1" applyFill="1" applyBorder="1" applyAlignment="1" applyProtection="1">
      <alignment horizontal="left" vertical="center" wrapText="1"/>
      <protection hidden="1"/>
    </xf>
    <xf numFmtId="49" fontId="22" fillId="0" borderId="0" xfId="0" applyNumberFormat="1" applyFont="1">
      <alignment vertical="center"/>
    </xf>
    <xf numFmtId="0" fontId="22" fillId="0" borderId="0" xfId="0" applyFont="1">
      <alignment vertical="center"/>
    </xf>
    <xf numFmtId="49" fontId="26" fillId="0" borderId="0" xfId="0" applyNumberFormat="1" applyFont="1" applyFill="1">
      <alignment vertical="center"/>
    </xf>
    <xf numFmtId="0" fontId="22" fillId="0" borderId="0" xfId="0" applyFont="1" applyFill="1">
      <alignment vertical="center"/>
    </xf>
    <xf numFmtId="49" fontId="26" fillId="0" borderId="0" xfId="0" applyNumberFormat="1" applyFont="1">
      <alignment vertical="center"/>
    </xf>
    <xf numFmtId="49" fontId="10" fillId="0" borderId="0" xfId="0" applyNumberFormat="1" applyFont="1">
      <alignment vertical="center"/>
    </xf>
    <xf numFmtId="49" fontId="23" fillId="3" borderId="1" xfId="0" applyNumberFormat="1" applyFont="1" applyFill="1" applyBorder="1" applyAlignment="1" applyProtection="1">
      <alignment horizontal="left" vertical="center" wrapText="1"/>
      <protection locked="0"/>
    </xf>
    <xf numFmtId="49" fontId="10" fillId="0" borderId="1" xfId="0" applyNumberFormat="1" applyFont="1" applyBorder="1" applyAlignment="1" applyProtection="1">
      <alignment horizontal="left" vertical="center" wrapText="1"/>
      <protection hidden="1"/>
    </xf>
    <xf numFmtId="49" fontId="10" fillId="0" borderId="1" xfId="0" applyNumberFormat="1" applyFont="1" applyBorder="1">
      <alignment vertical="center"/>
    </xf>
    <xf numFmtId="49" fontId="10" fillId="0" borderId="1" xfId="0" applyNumberFormat="1" applyFont="1" applyFill="1" applyBorder="1" applyAlignment="1" applyProtection="1">
      <alignment horizontal="left" vertical="center" wrapText="1"/>
      <protection hidden="1"/>
    </xf>
    <xf numFmtId="49" fontId="11" fillId="0" borderId="1" xfId="0" applyNumberFormat="1" applyFont="1" applyFill="1" applyBorder="1" applyAlignment="1" applyProtection="1">
      <alignment horizontal="left" vertical="center" wrapText="1"/>
      <protection hidden="1"/>
    </xf>
    <xf numFmtId="49" fontId="11" fillId="0" borderId="1" xfId="0" applyNumberFormat="1" applyFont="1" applyBorder="1">
      <alignment vertical="center"/>
    </xf>
    <xf numFmtId="49" fontId="10" fillId="7" borderId="1" xfId="0" applyNumberFormat="1" applyFont="1" applyFill="1" applyBorder="1" applyAlignment="1" applyProtection="1">
      <alignment horizontal="left" vertical="center" wrapText="1"/>
      <protection hidden="1"/>
    </xf>
    <xf numFmtId="49" fontId="10" fillId="0" borderId="0" xfId="0" applyNumberFormat="1" applyFont="1" applyFill="1">
      <alignment vertical="center"/>
    </xf>
    <xf numFmtId="49" fontId="10" fillId="0" borderId="0" xfId="0" applyNumberFormat="1" applyFont="1" applyProtection="1">
      <alignment vertical="center"/>
      <protection locked="0"/>
    </xf>
    <xf numFmtId="0" fontId="19" fillId="0" borderId="0" xfId="4" applyFont="1" applyAlignment="1">
      <alignment horizontal="center" vertical="center"/>
    </xf>
    <xf numFmtId="49" fontId="24" fillId="3" borderId="1" xfId="0" applyNumberFormat="1" applyFont="1" applyFill="1" applyBorder="1" applyAlignment="1" applyProtection="1">
      <alignment horizontal="left" vertical="center" wrapText="1"/>
      <protection hidden="1"/>
    </xf>
    <xf numFmtId="0" fontId="19" fillId="0" borderId="8" xfId="4" applyFont="1" applyBorder="1" applyAlignment="1">
      <alignment horizontal="center" vertical="center"/>
    </xf>
    <xf numFmtId="0" fontId="19" fillId="0" borderId="0" xfId="4" applyFont="1" applyBorder="1" applyAlignment="1">
      <alignment horizontal="center" vertical="center"/>
    </xf>
    <xf numFmtId="0" fontId="19" fillId="0" borderId="0" xfId="4" applyFont="1" applyAlignment="1">
      <alignment horizontal="center" vertical="center"/>
    </xf>
    <xf numFmtId="0" fontId="19" fillId="0" borderId="8" xfId="4" applyFont="1" applyFill="1" applyBorder="1" applyAlignment="1">
      <alignment horizontal="center" vertical="center"/>
    </xf>
    <xf numFmtId="0" fontId="19" fillId="0" borderId="0" xfId="4" applyFont="1" applyFill="1" applyBorder="1" applyAlignment="1">
      <alignment horizontal="center" vertical="center"/>
    </xf>
    <xf numFmtId="0" fontId="11" fillId="0" borderId="16" xfId="4" applyFont="1" applyBorder="1" applyAlignment="1">
      <alignment horizontal="center" vertical="center"/>
    </xf>
    <xf numFmtId="0" fontId="11" fillId="0" borderId="17" xfId="4" applyFont="1" applyBorder="1" applyAlignment="1">
      <alignment horizontal="center" vertical="center"/>
    </xf>
    <xf numFmtId="14" fontId="19" fillId="0" borderId="1" xfId="4" applyNumberFormat="1" applyFont="1" applyFill="1" applyBorder="1" applyAlignment="1">
      <alignment horizontal="center" vertical="center"/>
    </xf>
    <xf numFmtId="0" fontId="19" fillId="0" borderId="1" xfId="4" applyFont="1" applyFill="1" applyBorder="1" applyAlignment="1">
      <alignment horizontal="center" vertical="center"/>
    </xf>
    <xf numFmtId="0" fontId="19" fillId="0" borderId="15" xfId="4" applyFont="1" applyFill="1" applyBorder="1" applyAlignment="1">
      <alignment horizontal="center" vertical="center"/>
    </xf>
    <xf numFmtId="0" fontId="19" fillId="0" borderId="13" xfId="4" applyFont="1" applyFill="1" applyBorder="1" applyAlignment="1">
      <alignment horizontal="center" vertical="center"/>
    </xf>
    <xf numFmtId="0" fontId="19" fillId="0" borderId="14" xfId="4" applyFont="1" applyFill="1" applyBorder="1" applyAlignment="1">
      <alignment horizontal="center" vertical="center"/>
    </xf>
    <xf numFmtId="0" fontId="19" fillId="0" borderId="21" xfId="4" applyFont="1" applyBorder="1" applyAlignment="1">
      <alignment horizontal="center" vertical="center"/>
    </xf>
    <xf numFmtId="0" fontId="19" fillId="0" borderId="4" xfId="4" applyFont="1" applyFill="1" applyBorder="1" applyAlignment="1">
      <alignment horizontal="center" vertical="center"/>
    </xf>
    <xf numFmtId="0" fontId="19" fillId="0" borderId="5" xfId="4" applyFont="1" applyFill="1" applyBorder="1" applyAlignment="1">
      <alignment horizontal="center" vertical="center"/>
    </xf>
    <xf numFmtId="0" fontId="19" fillId="0" borderId="20" xfId="4" applyFont="1" applyFill="1" applyBorder="1" applyAlignment="1">
      <alignment horizontal="center" vertical="center"/>
    </xf>
    <xf numFmtId="14" fontId="19" fillId="0" borderId="4" xfId="4" applyNumberFormat="1" applyFont="1" applyFill="1" applyBorder="1" applyAlignment="1">
      <alignment horizontal="center" vertical="center"/>
    </xf>
    <xf numFmtId="14" fontId="19" fillId="0" borderId="5" xfId="4" applyNumberFormat="1" applyFont="1" applyFill="1" applyBorder="1" applyAlignment="1">
      <alignment horizontal="center" vertical="center"/>
    </xf>
    <xf numFmtId="14" fontId="19" fillId="0" borderId="20" xfId="4" applyNumberFormat="1" applyFont="1" applyFill="1" applyBorder="1" applyAlignment="1">
      <alignment horizontal="center" vertical="center"/>
    </xf>
    <xf numFmtId="0" fontId="11" fillId="0" borderId="11" xfId="4" applyFont="1" applyBorder="1" applyAlignment="1">
      <alignment horizontal="center" vertical="center"/>
    </xf>
    <xf numFmtId="0" fontId="11" fillId="0" borderId="18" xfId="4" applyFont="1" applyBorder="1" applyAlignment="1">
      <alignment horizontal="center" vertical="center"/>
    </xf>
    <xf numFmtId="0" fontId="11" fillId="0" borderId="19" xfId="4" applyFont="1" applyBorder="1" applyAlignment="1">
      <alignment horizontal="center" vertical="center"/>
    </xf>
    <xf numFmtId="0" fontId="19" fillId="0" borderId="12" xfId="4" applyFont="1" applyFill="1" applyBorder="1" applyAlignment="1">
      <alignment horizontal="center" vertical="center"/>
    </xf>
    <xf numFmtId="0" fontId="19" fillId="0" borderId="22" xfId="4" applyFont="1" applyFill="1" applyBorder="1" applyAlignment="1">
      <alignment horizontal="center" vertical="center"/>
    </xf>
    <xf numFmtId="0" fontId="19" fillId="0" borderId="23" xfId="4" applyFont="1" applyFill="1" applyBorder="1" applyAlignment="1">
      <alignment horizontal="center" vertical="center"/>
    </xf>
    <xf numFmtId="0" fontId="19" fillId="0" borderId="21" xfId="4" applyFont="1" applyFill="1" applyBorder="1" applyAlignment="1">
      <alignment horizontal="center" vertical="center"/>
    </xf>
    <xf numFmtId="49" fontId="24" fillId="3" borderId="2" xfId="0" applyNumberFormat="1" applyFont="1" applyFill="1" applyBorder="1" applyAlignment="1" applyProtection="1">
      <alignment horizontal="left" vertical="center" wrapText="1"/>
      <protection hidden="1"/>
    </xf>
    <xf numFmtId="49" fontId="24" fillId="3" borderId="3" xfId="0" applyNumberFormat="1" applyFont="1" applyFill="1" applyBorder="1" applyAlignment="1" applyProtection="1">
      <alignment horizontal="left" vertical="center" wrapText="1"/>
      <protection hidden="1"/>
    </xf>
    <xf numFmtId="49" fontId="23" fillId="3" borderId="2" xfId="0" applyNumberFormat="1" applyFont="1" applyFill="1" applyBorder="1" applyAlignment="1" applyProtection="1">
      <alignment horizontal="left" vertical="center" wrapText="1"/>
      <protection hidden="1"/>
    </xf>
    <xf numFmtId="49" fontId="23" fillId="3" borderId="3" xfId="0" applyNumberFormat="1" applyFont="1" applyFill="1" applyBorder="1" applyAlignment="1" applyProtection="1">
      <alignment horizontal="left" vertical="center" wrapText="1"/>
      <protection hidden="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8" fillId="0" borderId="1" xfId="0" applyNumberFormat="1" applyFont="1" applyBorder="1" applyAlignment="1">
      <alignment horizontal="left" vertical="center"/>
    </xf>
    <xf numFmtId="0" fontId="8" fillId="0" borderId="1" xfId="0" applyNumberFormat="1" applyFont="1" applyBorder="1" applyAlignment="1">
      <alignment horizontal="left" vertical="center" wrapText="1"/>
    </xf>
  </cellXfs>
  <cellStyles count="5">
    <cellStyle name="0,0_x000d__x000a_NA_x000d__x000a_" xfId="4"/>
    <cellStyle name="常规" xfId="0" builtinId="0"/>
    <cellStyle name="常规 2" xfId="2"/>
    <cellStyle name="常规 3" xfId="1"/>
    <cellStyle name="常规 4" xfId="3"/>
  </cellStyles>
  <dxfs count="25">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ill>
        <patternFill>
          <bgColor theme="5" tint="0.39994506668294322"/>
        </patternFill>
      </fill>
    </dxf>
    <dxf>
      <font>
        <color auto="1"/>
      </font>
      <fill>
        <patternFill>
          <bgColor theme="0" tint="-0.24994659260841701"/>
        </patternFill>
      </fill>
    </dxf>
    <dxf>
      <fill>
        <patternFill>
          <bgColor theme="5" tint="0.39994506668294322"/>
        </patternFill>
      </fill>
    </dxf>
    <dxf>
      <fill>
        <patternFill>
          <bgColor theme="0" tint="-0.499984740745262"/>
        </patternFill>
      </fill>
    </dxf>
    <dxf>
      <fill>
        <patternFill>
          <bgColor theme="0" tint="-0.499984740745262"/>
        </patternFill>
      </fill>
    </dxf>
    <dxf>
      <fill>
        <patternFill>
          <bgColor theme="5" tint="0.39994506668294322"/>
        </patternFill>
      </fill>
    </dxf>
    <dxf>
      <fill>
        <patternFill>
          <bgColor theme="0" tint="-0.499984740745262"/>
        </patternFill>
      </fill>
    </dxf>
    <dxf>
      <fill>
        <patternFill>
          <bgColor theme="0" tint="-0.499984740745262"/>
        </patternFill>
      </fill>
    </dxf>
  </dxfs>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66676</xdr:colOff>
      <xdr:row>0</xdr:row>
      <xdr:rowOff>47625</xdr:rowOff>
    </xdr:from>
    <xdr:to>
      <xdr:col>1</xdr:col>
      <xdr:colOff>180976</xdr:colOff>
      <xdr:row>2</xdr:row>
      <xdr:rowOff>19050</xdr:rowOff>
    </xdr:to>
    <xdr:pic>
      <xdr:nvPicPr>
        <xdr:cNvPr id="2" name="图片 1" descr="E:\标准文件\众合标志LOGO组合\170112.众合标志组合\170112.标志组合-07.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6" y="47625"/>
          <a:ext cx="704850" cy="2762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66676</xdr:colOff>
      <xdr:row>0</xdr:row>
      <xdr:rowOff>47625</xdr:rowOff>
    </xdr:from>
    <xdr:to>
      <xdr:col>1</xdr:col>
      <xdr:colOff>180976</xdr:colOff>
      <xdr:row>2</xdr:row>
      <xdr:rowOff>19050</xdr:rowOff>
    </xdr:to>
    <xdr:pic>
      <xdr:nvPicPr>
        <xdr:cNvPr id="2" name="图片 1" descr="E:\标准文件\众合标志LOGO组合\170112.众合标志组合\170112.标志组合-07.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6" y="47625"/>
          <a:ext cx="704850" cy="27622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Normal="100" workbookViewId="0">
      <selection activeCell="D5" sqref="D5:G5"/>
    </sheetView>
  </sheetViews>
  <sheetFormatPr defaultColWidth="9" defaultRowHeight="12"/>
  <cols>
    <col min="1" max="1" width="7.77734375" style="14" bestFit="1" customWidth="1"/>
    <col min="2" max="2" width="10.44140625" style="14" bestFit="1" customWidth="1"/>
    <col min="3" max="3" width="38.88671875" style="14" customWidth="1"/>
    <col min="4" max="4" width="51" style="14" customWidth="1"/>
    <col min="5" max="5" width="7.44140625" style="14" bestFit="1" customWidth="1"/>
    <col min="6" max="6" width="10.44140625" style="14" bestFit="1" customWidth="1"/>
    <col min="7" max="16384" width="9" style="14"/>
  </cols>
  <sheetData>
    <row r="1" spans="1:9">
      <c r="A1" s="111" t="s">
        <v>692</v>
      </c>
      <c r="B1" s="111"/>
      <c r="C1" s="111"/>
      <c r="D1" s="111"/>
      <c r="E1" s="111"/>
      <c r="F1" s="111"/>
      <c r="G1" s="111"/>
      <c r="H1" s="111"/>
      <c r="I1" s="111"/>
    </row>
    <row r="2" spans="1:9">
      <c r="A2" s="111"/>
      <c r="B2" s="111"/>
      <c r="C2" s="111"/>
      <c r="D2" s="111"/>
      <c r="E2" s="111"/>
      <c r="F2" s="111"/>
      <c r="G2" s="111"/>
      <c r="H2" s="111"/>
      <c r="I2" s="111"/>
    </row>
    <row r="3" spans="1:9" ht="12.6" thickBot="1">
      <c r="A3" s="57"/>
      <c r="B3" s="58"/>
      <c r="C3" s="58"/>
      <c r="D3" s="58"/>
      <c r="E3" s="58"/>
      <c r="F3" s="58"/>
      <c r="G3" s="58"/>
      <c r="H3" s="58"/>
      <c r="I3" s="58"/>
    </row>
    <row r="4" spans="1:9" ht="13.2">
      <c r="A4" s="59"/>
      <c r="B4" s="60"/>
      <c r="C4" s="61" t="s">
        <v>435</v>
      </c>
      <c r="D4" s="119" t="s">
        <v>687</v>
      </c>
      <c r="E4" s="119"/>
      <c r="F4" s="119"/>
      <c r="G4" s="120"/>
      <c r="H4" s="62"/>
      <c r="I4" s="62"/>
    </row>
    <row r="5" spans="1:9" ht="13.2">
      <c r="A5" s="112" t="s">
        <v>436</v>
      </c>
      <c r="B5" s="113"/>
      <c r="C5" s="63" t="s">
        <v>437</v>
      </c>
      <c r="D5" s="117" t="s">
        <v>688</v>
      </c>
      <c r="E5" s="117"/>
      <c r="F5" s="117"/>
      <c r="G5" s="118"/>
      <c r="H5" s="64"/>
      <c r="I5" s="64"/>
    </row>
    <row r="6" spans="1:9" ht="13.2">
      <c r="A6" s="109" t="s">
        <v>450</v>
      </c>
      <c r="B6" s="110"/>
      <c r="C6" s="63" t="s">
        <v>438</v>
      </c>
      <c r="D6" s="117" t="s">
        <v>689</v>
      </c>
      <c r="E6" s="117"/>
      <c r="F6" s="117"/>
      <c r="G6" s="118"/>
      <c r="H6" s="62"/>
      <c r="I6" s="62"/>
    </row>
    <row r="7" spans="1:9" ht="13.2">
      <c r="A7" s="109" t="s">
        <v>439</v>
      </c>
      <c r="B7" s="110"/>
      <c r="C7" s="63" t="s">
        <v>440</v>
      </c>
      <c r="D7" s="117" t="s">
        <v>691</v>
      </c>
      <c r="E7" s="117"/>
      <c r="F7" s="117"/>
      <c r="G7" s="118"/>
      <c r="H7" s="62"/>
      <c r="I7" s="62"/>
    </row>
    <row r="8" spans="1:9" ht="13.2">
      <c r="A8" s="109" t="s">
        <v>458</v>
      </c>
      <c r="B8" s="110"/>
      <c r="C8" s="63" t="s">
        <v>441</v>
      </c>
      <c r="D8" s="116"/>
      <c r="E8" s="117"/>
      <c r="F8" s="117"/>
      <c r="G8" s="118"/>
      <c r="H8" s="62"/>
      <c r="I8" s="62"/>
    </row>
    <row r="9" spans="1:9" ht="13.8" thickBot="1">
      <c r="A9" s="65"/>
      <c r="B9" s="66"/>
      <c r="C9" s="67" t="s">
        <v>442</v>
      </c>
      <c r="D9" s="114" t="s">
        <v>443</v>
      </c>
      <c r="E9" s="114"/>
      <c r="F9" s="114"/>
      <c r="G9" s="115"/>
      <c r="H9" s="62"/>
      <c r="I9" s="62"/>
    </row>
    <row r="10" spans="1:9" ht="13.2">
      <c r="A10" s="68"/>
      <c r="B10" s="62"/>
      <c r="C10" s="62"/>
      <c r="D10" s="62"/>
      <c r="E10" s="62"/>
      <c r="F10" s="62"/>
      <c r="G10" s="62"/>
      <c r="H10" s="62"/>
      <c r="I10" s="62"/>
    </row>
    <row r="12" spans="1:9" ht="13.2">
      <c r="A12" s="69" t="s">
        <v>444</v>
      </c>
      <c r="B12" s="69" t="s">
        <v>445</v>
      </c>
      <c r="C12" s="69" t="s">
        <v>446</v>
      </c>
      <c r="D12" s="70" t="s">
        <v>510</v>
      </c>
      <c r="E12" s="70" t="s">
        <v>511</v>
      </c>
      <c r="F12" s="70" t="s">
        <v>447</v>
      </c>
      <c r="G12" s="70" t="s">
        <v>448</v>
      </c>
      <c r="H12" s="70" t="s">
        <v>449</v>
      </c>
      <c r="I12" s="47"/>
    </row>
    <row r="13" spans="1:9" ht="13.2">
      <c r="A13" s="2" t="s">
        <v>99</v>
      </c>
      <c r="B13" s="71" t="s">
        <v>452</v>
      </c>
      <c r="C13" s="72" t="s">
        <v>102</v>
      </c>
      <c r="D13" s="2"/>
      <c r="E13" s="2" t="s">
        <v>690</v>
      </c>
      <c r="F13" s="2" t="s">
        <v>456</v>
      </c>
      <c r="G13" s="72"/>
      <c r="H13" s="72"/>
      <c r="I13" s="47"/>
    </row>
    <row r="14" spans="1:9" ht="13.2">
      <c r="A14" s="2"/>
      <c r="B14" s="71"/>
      <c r="C14" s="73"/>
      <c r="D14" s="2"/>
      <c r="E14" s="2"/>
      <c r="F14" s="74"/>
      <c r="G14" s="72"/>
      <c r="H14" s="72"/>
      <c r="I14" s="47"/>
    </row>
    <row r="15" spans="1:9" ht="13.2">
      <c r="A15" s="2"/>
      <c r="B15" s="71"/>
      <c r="C15" s="73"/>
      <c r="D15" s="2"/>
      <c r="E15" s="2"/>
      <c r="F15" s="74"/>
      <c r="G15" s="72"/>
      <c r="H15" s="72"/>
      <c r="I15" s="47"/>
    </row>
    <row r="16" spans="1:9" ht="13.2">
      <c r="A16" s="2"/>
      <c r="B16" s="71"/>
      <c r="C16" s="73"/>
      <c r="D16" s="2"/>
      <c r="E16" s="2"/>
      <c r="F16" s="74"/>
      <c r="G16" s="72"/>
      <c r="H16" s="72"/>
    </row>
    <row r="17" spans="1:8" ht="13.2">
      <c r="A17" s="75"/>
      <c r="B17" s="71"/>
      <c r="C17" s="76"/>
      <c r="D17" s="2"/>
      <c r="E17" s="2"/>
      <c r="F17" s="74"/>
      <c r="G17" s="72"/>
      <c r="H17" s="72"/>
    </row>
    <row r="18" spans="1:8" ht="13.2">
      <c r="A18" s="2"/>
      <c r="B18" s="71"/>
      <c r="C18" s="76"/>
      <c r="D18" s="2"/>
      <c r="E18" s="2"/>
      <c r="F18" s="74"/>
      <c r="G18" s="72"/>
      <c r="H18" s="72"/>
    </row>
    <row r="19" spans="1:8" ht="13.2">
      <c r="A19" s="2"/>
      <c r="B19" s="71"/>
      <c r="C19" s="76"/>
      <c r="D19" s="2"/>
      <c r="E19" s="2"/>
      <c r="F19" s="74"/>
      <c r="G19" s="72"/>
      <c r="H19" s="72"/>
    </row>
    <row r="20" spans="1:8" ht="13.2">
      <c r="A20" s="2"/>
      <c r="B20" s="71"/>
      <c r="C20" s="76"/>
      <c r="D20" s="2"/>
      <c r="E20" s="2"/>
      <c r="F20" s="74"/>
      <c r="G20" s="72"/>
      <c r="H20" s="72"/>
    </row>
    <row r="21" spans="1:8" ht="13.2">
      <c r="A21" s="2"/>
      <c r="B21" s="71"/>
      <c r="C21" s="76"/>
      <c r="D21" s="2"/>
      <c r="E21" s="2"/>
      <c r="F21" s="74"/>
      <c r="G21" s="72"/>
      <c r="H21" s="72"/>
    </row>
    <row r="22" spans="1:8" ht="13.2">
      <c r="A22" s="2"/>
      <c r="B22" s="71"/>
      <c r="C22" s="76"/>
      <c r="D22" s="2"/>
      <c r="E22" s="2"/>
      <c r="F22" s="74"/>
      <c r="G22" s="72"/>
      <c r="H22" s="72"/>
    </row>
    <row r="23" spans="1:8" ht="13.2">
      <c r="A23" s="2"/>
      <c r="B23" s="71"/>
      <c r="C23" s="76"/>
      <c r="D23" s="2"/>
      <c r="E23" s="2"/>
      <c r="F23" s="74"/>
      <c r="G23" s="72"/>
      <c r="H23" s="72"/>
    </row>
    <row r="24" spans="1:8" ht="13.2">
      <c r="A24" s="2"/>
      <c r="B24" s="71"/>
      <c r="C24" s="76"/>
      <c r="D24" s="2"/>
      <c r="E24" s="2"/>
      <c r="F24" s="74"/>
      <c r="G24" s="72"/>
      <c r="H24" s="72"/>
    </row>
    <row r="25" spans="1:8" ht="13.2">
      <c r="A25" s="2"/>
      <c r="B25" s="71"/>
      <c r="C25" s="76"/>
      <c r="D25" s="2"/>
      <c r="E25" s="2"/>
      <c r="F25" s="74"/>
      <c r="G25" s="72"/>
      <c r="H25" s="72"/>
    </row>
    <row r="26" spans="1:8" ht="13.2">
      <c r="A26" s="2"/>
      <c r="B26" s="71"/>
      <c r="C26" s="76"/>
      <c r="D26" s="2"/>
      <c r="E26" s="2"/>
      <c r="F26" s="74"/>
      <c r="G26" s="72"/>
      <c r="H26" s="72"/>
    </row>
    <row r="27" spans="1:8" ht="13.2">
      <c r="A27" s="2"/>
      <c r="B27" s="71"/>
      <c r="C27" s="73"/>
      <c r="D27" s="2"/>
      <c r="E27" s="2"/>
      <c r="F27" s="74"/>
      <c r="G27" s="77"/>
      <c r="H27" s="72"/>
    </row>
    <row r="28" spans="1:8" ht="13.2">
      <c r="A28" s="2"/>
      <c r="B28" s="71"/>
      <c r="C28" s="76"/>
      <c r="D28" s="2"/>
      <c r="E28" s="2"/>
      <c r="F28" s="74"/>
      <c r="G28" s="77"/>
      <c r="H28" s="72"/>
    </row>
    <row r="29" spans="1:8" ht="13.2">
      <c r="A29" s="2"/>
      <c r="B29" s="71"/>
      <c r="C29" s="76"/>
      <c r="D29" s="76"/>
      <c r="E29" s="76"/>
      <c r="F29" s="74"/>
      <c r="G29" s="77"/>
      <c r="H29" s="72"/>
    </row>
    <row r="30" spans="1:8" ht="13.2">
      <c r="A30" s="2"/>
      <c r="B30" s="71"/>
      <c r="C30" s="76"/>
      <c r="D30" s="76"/>
      <c r="E30" s="76"/>
      <c r="F30" s="74"/>
      <c r="G30" s="77"/>
      <c r="H30" s="72"/>
    </row>
    <row r="31" spans="1:8" ht="13.2">
      <c r="A31" s="2"/>
      <c r="B31" s="71"/>
      <c r="C31" s="76"/>
      <c r="D31" s="76"/>
      <c r="E31" s="76"/>
      <c r="F31" s="74"/>
      <c r="G31" s="77"/>
      <c r="H31" s="72"/>
    </row>
    <row r="32" spans="1:8" ht="13.2">
      <c r="A32" s="2"/>
      <c r="B32" s="71"/>
      <c r="C32" s="76"/>
      <c r="D32" s="76"/>
      <c r="E32" s="76"/>
      <c r="F32" s="74"/>
      <c r="G32" s="77"/>
      <c r="H32" s="77"/>
    </row>
    <row r="33" spans="1:8" ht="13.2">
      <c r="A33" s="2"/>
      <c r="B33" s="71"/>
      <c r="C33" s="73"/>
      <c r="D33" s="76"/>
      <c r="E33" s="76"/>
      <c r="F33" s="74"/>
      <c r="G33" s="77"/>
      <c r="H33" s="77"/>
    </row>
    <row r="34" spans="1:8" ht="13.2">
      <c r="A34" s="2"/>
      <c r="B34" s="2"/>
      <c r="C34" s="76"/>
      <c r="D34" s="76"/>
      <c r="E34" s="76"/>
      <c r="F34" s="74"/>
      <c r="G34" s="77"/>
      <c r="H34" s="77"/>
    </row>
    <row r="35" spans="1:8" ht="13.2">
      <c r="A35" s="2"/>
      <c r="B35" s="76"/>
      <c r="C35" s="73"/>
      <c r="D35" s="76"/>
      <c r="E35" s="76"/>
      <c r="F35" s="74"/>
      <c r="G35" s="77"/>
      <c r="H35" s="77"/>
    </row>
    <row r="36" spans="1:8" ht="13.2">
      <c r="A36" s="2"/>
      <c r="B36" s="73"/>
      <c r="C36" s="76"/>
      <c r="D36" s="76"/>
      <c r="E36" s="76"/>
      <c r="F36" s="74"/>
      <c r="G36" s="77"/>
      <c r="H36" s="77"/>
    </row>
    <row r="37" spans="1:8" ht="13.2">
      <c r="A37" s="2"/>
      <c r="B37" s="73"/>
      <c r="C37" s="76"/>
      <c r="D37" s="76"/>
      <c r="E37" s="79"/>
      <c r="F37" s="74"/>
      <c r="G37" s="77"/>
      <c r="H37" s="77"/>
    </row>
    <row r="38" spans="1:8" ht="13.2">
      <c r="A38" s="2"/>
      <c r="B38" s="73"/>
      <c r="C38" s="76"/>
      <c r="D38" s="76"/>
      <c r="E38" s="79"/>
      <c r="F38" s="74"/>
      <c r="G38" s="77"/>
      <c r="H38" s="77"/>
    </row>
    <row r="39" spans="1:8" ht="13.2">
      <c r="A39" s="2"/>
      <c r="B39" s="73"/>
      <c r="C39" s="76"/>
      <c r="D39" s="79"/>
      <c r="E39" s="79"/>
      <c r="F39" s="74"/>
      <c r="G39" s="77"/>
      <c r="H39" s="77"/>
    </row>
    <row r="40" spans="1:8" ht="13.2">
      <c r="A40" s="2"/>
      <c r="B40" s="73"/>
      <c r="C40" s="73"/>
      <c r="D40" s="79"/>
      <c r="E40" s="79"/>
      <c r="F40" s="74"/>
      <c r="G40" s="77"/>
      <c r="H40" s="77"/>
    </row>
  </sheetData>
  <mergeCells count="11">
    <mergeCell ref="D9:G9"/>
    <mergeCell ref="D8:G8"/>
    <mergeCell ref="D4:G4"/>
    <mergeCell ref="D5:G5"/>
    <mergeCell ref="D6:G6"/>
    <mergeCell ref="D7:G7"/>
    <mergeCell ref="A8:B8"/>
    <mergeCell ref="A6:B6"/>
    <mergeCell ref="A7:B7"/>
    <mergeCell ref="A1:I2"/>
    <mergeCell ref="A5:B5"/>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O26"/>
  <sheetViews>
    <sheetView tabSelected="1" workbookViewId="0">
      <selection activeCell="B2" sqref="B2"/>
    </sheetView>
  </sheetViews>
  <sheetFormatPr defaultRowHeight="14.4"/>
  <cols>
    <col min="1" max="1" width="14.33203125" customWidth="1"/>
    <col min="2" max="2" width="12.5546875" customWidth="1"/>
    <col min="3" max="3" width="11.33203125" bestFit="1" customWidth="1"/>
    <col min="4" max="4" width="15.88671875" customWidth="1"/>
    <col min="5" max="5" width="16.77734375" bestFit="1" customWidth="1"/>
    <col min="6" max="6" width="20.5546875" customWidth="1"/>
    <col min="7" max="7" width="15.109375" bestFit="1" customWidth="1"/>
    <col min="10" max="10" width="14.77734375" customWidth="1"/>
    <col min="11" max="11" width="20.33203125" customWidth="1"/>
  </cols>
  <sheetData>
    <row r="1" spans="1:7" ht="26.4">
      <c r="A1" s="33" t="s">
        <v>351</v>
      </c>
      <c r="B1" s="33" t="s">
        <v>352</v>
      </c>
      <c r="C1" s="33" t="s">
        <v>353</v>
      </c>
      <c r="D1" s="31" t="s">
        <v>354</v>
      </c>
      <c r="E1" s="33" t="s">
        <v>355</v>
      </c>
      <c r="F1" s="31" t="s">
        <v>356</v>
      </c>
      <c r="G1" s="31" t="s">
        <v>357</v>
      </c>
    </row>
    <row r="2" spans="1:7">
      <c r="A2" s="32" t="s">
        <v>358</v>
      </c>
      <c r="B2" s="32" t="s">
        <v>359</v>
      </c>
      <c r="C2" s="32" t="s">
        <v>340</v>
      </c>
      <c r="D2" s="32" t="s">
        <v>341</v>
      </c>
      <c r="E2" s="32" t="s">
        <v>360</v>
      </c>
      <c r="F2" s="34" t="str">
        <f>IF($A2="","",屏蔽门ID高2byte&amp;$B2)</f>
        <v>0B000101</v>
      </c>
      <c r="G2" s="34" t="str">
        <f>IF($A2="","",DEC2HEX(IF($C2="DOWN",1,0)*2^7+IF($D2="车头对齐",1,2)*2^5+$E2))</f>
        <v>A4</v>
      </c>
    </row>
    <row r="3" spans="1:7" ht="26.4">
      <c r="A3" s="32" t="s">
        <v>361</v>
      </c>
      <c r="B3" s="32" t="s">
        <v>362</v>
      </c>
      <c r="C3" s="32" t="s">
        <v>363</v>
      </c>
      <c r="D3" s="32" t="s">
        <v>341</v>
      </c>
      <c r="E3" s="32" t="s">
        <v>360</v>
      </c>
      <c r="F3" s="34" t="str">
        <f t="shared" ref="F3:F22" si="0">IF($A3="","",屏蔽门ID高2byte&amp;$B3)</f>
        <v>0B000102</v>
      </c>
      <c r="G3" s="34" t="str">
        <f t="shared" ref="G3:G22" si="1">IF($A3="","",DEC2HEX(IF($C3="DOWN",1,0)*2^7+IF($D3="车头对齐",1,2)*2^5+$E3))</f>
        <v>24</v>
      </c>
    </row>
    <row r="4" spans="1:7">
      <c r="A4" s="32"/>
      <c r="B4" s="32"/>
      <c r="C4" s="32"/>
      <c r="D4" s="32"/>
      <c r="E4" s="32"/>
      <c r="F4" s="34" t="str">
        <f t="shared" si="0"/>
        <v/>
      </c>
      <c r="G4" s="34" t="str">
        <f t="shared" si="1"/>
        <v/>
      </c>
    </row>
    <row r="5" spans="1:7">
      <c r="A5" s="32"/>
      <c r="B5" s="32"/>
      <c r="C5" s="32"/>
      <c r="D5" s="32"/>
      <c r="E5" s="32"/>
      <c r="F5" s="34" t="str">
        <f t="shared" si="0"/>
        <v/>
      </c>
      <c r="G5" s="34" t="str">
        <f t="shared" si="1"/>
        <v/>
      </c>
    </row>
    <row r="6" spans="1:7">
      <c r="A6" s="32"/>
      <c r="B6" s="32"/>
      <c r="C6" s="32"/>
      <c r="D6" s="32"/>
      <c r="E6" s="32"/>
      <c r="F6" s="34" t="str">
        <f t="shared" si="0"/>
        <v/>
      </c>
      <c r="G6" s="34" t="str">
        <f t="shared" si="1"/>
        <v/>
      </c>
    </row>
    <row r="7" spans="1:7">
      <c r="A7" s="32"/>
      <c r="B7" s="32"/>
      <c r="C7" s="32"/>
      <c r="D7" s="32"/>
      <c r="E7" s="32"/>
      <c r="F7" s="34" t="str">
        <f t="shared" si="0"/>
        <v/>
      </c>
      <c r="G7" s="34" t="str">
        <f t="shared" si="1"/>
        <v/>
      </c>
    </row>
    <row r="8" spans="1:7">
      <c r="A8" s="32"/>
      <c r="B8" s="32"/>
      <c r="C8" s="32"/>
      <c r="D8" s="32"/>
      <c r="E8" s="32"/>
      <c r="F8" s="34" t="str">
        <f t="shared" si="0"/>
        <v/>
      </c>
      <c r="G8" s="34" t="str">
        <f t="shared" si="1"/>
        <v/>
      </c>
    </row>
    <row r="9" spans="1:7">
      <c r="A9" s="32"/>
      <c r="B9" s="32"/>
      <c r="C9" s="32"/>
      <c r="D9" s="32"/>
      <c r="E9" s="32"/>
      <c r="F9" s="34" t="str">
        <f t="shared" si="0"/>
        <v/>
      </c>
      <c r="G9" s="34" t="str">
        <f t="shared" si="1"/>
        <v/>
      </c>
    </row>
    <row r="10" spans="1:7">
      <c r="A10" s="32"/>
      <c r="B10" s="32"/>
      <c r="C10" s="32"/>
      <c r="D10" s="32"/>
      <c r="E10" s="32"/>
      <c r="F10" s="34" t="str">
        <f t="shared" si="0"/>
        <v/>
      </c>
      <c r="G10" s="34" t="str">
        <f t="shared" si="1"/>
        <v/>
      </c>
    </row>
    <row r="11" spans="1:7">
      <c r="A11" s="32"/>
      <c r="B11" s="32"/>
      <c r="C11" s="32"/>
      <c r="D11" s="32"/>
      <c r="E11" s="32"/>
      <c r="F11" s="34" t="str">
        <f t="shared" si="0"/>
        <v/>
      </c>
      <c r="G11" s="34" t="str">
        <f t="shared" si="1"/>
        <v/>
      </c>
    </row>
    <row r="12" spans="1:7">
      <c r="A12" s="32"/>
      <c r="B12" s="32"/>
      <c r="C12" s="32"/>
      <c r="D12" s="32"/>
      <c r="E12" s="32"/>
      <c r="F12" s="34" t="str">
        <f t="shared" si="0"/>
        <v/>
      </c>
      <c r="G12" s="34" t="str">
        <f t="shared" si="1"/>
        <v/>
      </c>
    </row>
    <row r="13" spans="1:7">
      <c r="A13" s="32"/>
      <c r="B13" s="32"/>
      <c r="C13" s="32"/>
      <c r="D13" s="32"/>
      <c r="E13" s="32"/>
      <c r="F13" s="34" t="str">
        <f t="shared" si="0"/>
        <v/>
      </c>
      <c r="G13" s="34" t="str">
        <f t="shared" si="1"/>
        <v/>
      </c>
    </row>
    <row r="14" spans="1:7">
      <c r="A14" s="32"/>
      <c r="B14" s="32"/>
      <c r="C14" s="32"/>
      <c r="D14" s="32"/>
      <c r="E14" s="32"/>
      <c r="F14" s="34" t="str">
        <f t="shared" si="0"/>
        <v/>
      </c>
      <c r="G14" s="34" t="str">
        <f t="shared" si="1"/>
        <v/>
      </c>
    </row>
    <row r="15" spans="1:7">
      <c r="A15" s="32"/>
      <c r="B15" s="32"/>
      <c r="C15" s="32"/>
      <c r="D15" s="32"/>
      <c r="E15" s="32"/>
      <c r="F15" s="34" t="str">
        <f t="shared" si="0"/>
        <v/>
      </c>
      <c r="G15" s="34" t="str">
        <f t="shared" si="1"/>
        <v/>
      </c>
    </row>
    <row r="16" spans="1:7">
      <c r="A16" s="32"/>
      <c r="B16" s="32"/>
      <c r="C16" s="32"/>
      <c r="D16" s="32"/>
      <c r="E16" s="32"/>
      <c r="F16" s="34" t="str">
        <f t="shared" si="0"/>
        <v/>
      </c>
      <c r="G16" s="34" t="str">
        <f t="shared" si="1"/>
        <v/>
      </c>
    </row>
    <row r="17" spans="1:15">
      <c r="A17" s="32"/>
      <c r="B17" s="32"/>
      <c r="C17" s="32"/>
      <c r="D17" s="32"/>
      <c r="E17" s="32"/>
      <c r="F17" s="34" t="str">
        <f t="shared" si="0"/>
        <v/>
      </c>
      <c r="G17" s="34" t="str">
        <f t="shared" si="1"/>
        <v/>
      </c>
    </row>
    <row r="18" spans="1:15">
      <c r="A18" s="32"/>
      <c r="B18" s="32"/>
      <c r="C18" s="32"/>
      <c r="D18" s="32"/>
      <c r="E18" s="32"/>
      <c r="F18" s="34" t="str">
        <f t="shared" si="0"/>
        <v/>
      </c>
      <c r="G18" s="34" t="str">
        <f t="shared" si="1"/>
        <v/>
      </c>
    </row>
    <row r="19" spans="1:15">
      <c r="A19" s="32"/>
      <c r="B19" s="32"/>
      <c r="C19" s="32"/>
      <c r="D19" s="32"/>
      <c r="E19" s="32"/>
      <c r="F19" s="34" t="str">
        <f t="shared" si="0"/>
        <v/>
      </c>
      <c r="G19" s="34" t="str">
        <f t="shared" si="1"/>
        <v/>
      </c>
    </row>
    <row r="20" spans="1:15">
      <c r="A20" s="32"/>
      <c r="B20" s="32"/>
      <c r="C20" s="32"/>
      <c r="D20" s="32"/>
      <c r="E20" s="32"/>
      <c r="F20" s="34" t="str">
        <f t="shared" si="0"/>
        <v/>
      </c>
      <c r="G20" s="34" t="str">
        <f t="shared" si="1"/>
        <v/>
      </c>
    </row>
    <row r="21" spans="1:15">
      <c r="A21" s="32"/>
      <c r="B21" s="32"/>
      <c r="C21" s="32"/>
      <c r="D21" s="32"/>
      <c r="E21" s="32"/>
      <c r="F21" s="34" t="str">
        <f t="shared" si="0"/>
        <v/>
      </c>
      <c r="G21" s="34" t="str">
        <f t="shared" si="1"/>
        <v/>
      </c>
    </row>
    <row r="22" spans="1:15">
      <c r="A22" s="32"/>
      <c r="B22" s="32"/>
      <c r="C22" s="32"/>
      <c r="D22" s="32"/>
      <c r="E22" s="32"/>
      <c r="F22" s="34" t="str">
        <f t="shared" si="0"/>
        <v/>
      </c>
      <c r="G22" s="34" t="str">
        <f t="shared" si="1"/>
        <v/>
      </c>
    </row>
    <row r="23" spans="1:15">
      <c r="I23" s="139" t="s">
        <v>344</v>
      </c>
      <c r="J23" s="35" t="s">
        <v>345</v>
      </c>
      <c r="K23" s="35" t="s">
        <v>346</v>
      </c>
      <c r="L23" s="141" t="s">
        <v>347</v>
      </c>
      <c r="M23" s="141"/>
      <c r="N23" s="141"/>
      <c r="O23" s="141"/>
    </row>
    <row r="24" spans="1:15" ht="39.6">
      <c r="I24" s="140"/>
      <c r="J24" s="36" t="s">
        <v>348</v>
      </c>
      <c r="K24" s="37" t="s">
        <v>349</v>
      </c>
      <c r="L24" s="142" t="s">
        <v>350</v>
      </c>
      <c r="M24" s="142"/>
      <c r="N24" s="142"/>
      <c r="O24" s="142"/>
    </row>
    <row r="26" spans="1:15">
      <c r="A26" s="38"/>
      <c r="B26" s="39"/>
      <c r="C26" s="39"/>
      <c r="D26" s="39"/>
      <c r="E26" s="40"/>
      <c r="F26" s="41"/>
      <c r="G26" s="41"/>
    </row>
  </sheetData>
  <protectedRanges>
    <protectedRange sqref="A2:E22" name="区域2_1"/>
  </protectedRanges>
  <mergeCells count="3">
    <mergeCell ref="I23:I24"/>
    <mergeCell ref="L23:O23"/>
    <mergeCell ref="L24:O24"/>
  </mergeCells>
  <phoneticPr fontId="1" type="noConversion"/>
  <dataValidations count="2">
    <dataValidation type="list" allowBlank="1" showInputMessage="1" showErrorMessage="1" sqref="D2:D22">
      <formula1>"车头对齐,车尾对齐"</formula1>
    </dataValidation>
    <dataValidation type="list" allowBlank="1" showInputMessage="1" showErrorMessage="1" sqref="C2:C22">
      <formula1>"UP,DOWN"</formula1>
    </dataValidation>
  </dataValidations>
  <pageMargins left="0.7" right="0.7" top="0.75" bottom="0.75" header="0.3" footer="0.3"/>
  <ignoredErrors>
    <ignoredError sqref="E2:E3 B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A1:C2"/>
  <sheetViews>
    <sheetView workbookViewId="0">
      <selection activeCell="C21" sqref="C21"/>
    </sheetView>
  </sheetViews>
  <sheetFormatPr defaultColWidth="9" defaultRowHeight="12"/>
  <cols>
    <col min="1" max="1" width="7.88671875" style="14" bestFit="1" customWidth="1"/>
    <col min="2" max="2" width="9.33203125" style="14" bestFit="1" customWidth="1"/>
    <col min="3" max="3" width="8.44140625" style="14" bestFit="1" customWidth="1"/>
    <col min="4" max="16384" width="9" style="14"/>
  </cols>
  <sheetData>
    <row r="1" spans="1:3" ht="25.2">
      <c r="A1" s="12" t="s">
        <v>215</v>
      </c>
      <c r="B1" s="15" t="s">
        <v>218</v>
      </c>
      <c r="C1" s="16" t="s">
        <v>219</v>
      </c>
    </row>
    <row r="2" spans="1:3" ht="13.2">
      <c r="A2" s="2" t="s">
        <v>214</v>
      </c>
      <c r="B2" s="2">
        <v>0</v>
      </c>
      <c r="C2" s="2" t="s">
        <v>213</v>
      </c>
    </row>
  </sheetData>
  <phoneticPr fontId="1" type="noConversion"/>
  <dataValidations disablePrompts="1" count="1">
    <dataValidation type="list" allowBlank="1" showInputMessage="1" showErrorMessage="1" sqref="C2">
      <formula1>"上行轨,下行轨"</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C2"/>
  <sheetViews>
    <sheetView workbookViewId="0">
      <selection activeCell="G6" sqref="G6"/>
    </sheetView>
  </sheetViews>
  <sheetFormatPr defaultColWidth="9" defaultRowHeight="13.8"/>
  <cols>
    <col min="1" max="1" width="9.6640625" style="1" bestFit="1" customWidth="1"/>
    <col min="2" max="2" width="8" style="1" bestFit="1" customWidth="1"/>
    <col min="3" max="3" width="8.44140625" style="1" bestFit="1" customWidth="1"/>
    <col min="4" max="16384" width="9" style="1"/>
  </cols>
  <sheetData>
    <row r="1" spans="1:3" ht="25.2">
      <c r="A1" s="15" t="s">
        <v>220</v>
      </c>
      <c r="B1" s="17" t="s">
        <v>221</v>
      </c>
      <c r="C1" s="17" t="s">
        <v>222</v>
      </c>
    </row>
    <row r="2" spans="1:3">
      <c r="A2" s="13">
        <v>0</v>
      </c>
      <c r="B2" s="2">
        <v>0</v>
      </c>
      <c r="C2" s="2" t="s">
        <v>213</v>
      </c>
    </row>
  </sheetData>
  <phoneticPr fontId="1" type="noConversion"/>
  <dataValidations count="1">
    <dataValidation type="list" allowBlank="1" showInputMessage="1" showErrorMessage="1" sqref="C2">
      <formula1>"上行轨,下行轨"</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0.499984740745262"/>
  </sheetPr>
  <dimension ref="A1:C3"/>
  <sheetViews>
    <sheetView workbookViewId="0">
      <selection activeCell="K21" sqref="K21"/>
    </sheetView>
  </sheetViews>
  <sheetFormatPr defaultColWidth="9" defaultRowHeight="13.8"/>
  <cols>
    <col min="1" max="16384" width="9" style="1"/>
  </cols>
  <sheetData>
    <row r="1" spans="1:3" ht="24">
      <c r="A1" s="15" t="s">
        <v>223</v>
      </c>
      <c r="B1" s="17" t="s">
        <v>224</v>
      </c>
      <c r="C1" s="17" t="s">
        <v>225</v>
      </c>
    </row>
    <row r="2" spans="1:3">
      <c r="A2" s="13">
        <v>0</v>
      </c>
      <c r="B2" s="2">
        <v>10</v>
      </c>
      <c r="C2" s="2" t="s">
        <v>216</v>
      </c>
    </row>
    <row r="3" spans="1:3">
      <c r="A3" s="13">
        <v>1</v>
      </c>
      <c r="B3" s="2">
        <v>-10</v>
      </c>
      <c r="C3" s="2" t="s">
        <v>217</v>
      </c>
    </row>
  </sheetData>
  <phoneticPr fontId="1" type="noConversion"/>
  <dataValidations count="1">
    <dataValidation type="list" allowBlank="1" showInputMessage="1" showErrorMessage="1" sqref="C2:C3">
      <formula1>"长链,短链"</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
  <sheetViews>
    <sheetView zoomScale="70" zoomScaleNormal="70" workbookViewId="0">
      <selection activeCell="A5" sqref="A5:XFD601"/>
    </sheetView>
  </sheetViews>
  <sheetFormatPr defaultRowHeight="14.4"/>
  <cols>
    <col min="1" max="1" width="11.6640625" bestFit="1" customWidth="1"/>
    <col min="2" max="2" width="9.44140625" bestFit="1" customWidth="1"/>
    <col min="3" max="3" width="11.77734375" bestFit="1" customWidth="1"/>
    <col min="4" max="4" width="10" bestFit="1" customWidth="1"/>
    <col min="5" max="6" width="13.6640625" bestFit="1" customWidth="1"/>
    <col min="7" max="7" width="8.21875" bestFit="1" customWidth="1"/>
    <col min="8" max="8" width="13.6640625" style="46" bestFit="1" customWidth="1"/>
    <col min="9" max="9" width="12.33203125" bestFit="1" customWidth="1"/>
    <col min="10" max="10" width="10.33203125" bestFit="1" customWidth="1"/>
    <col min="11" max="11" width="8.33203125" bestFit="1" customWidth="1"/>
    <col min="12" max="12" width="10" bestFit="1" customWidth="1"/>
    <col min="13" max="13" width="8.21875" bestFit="1" customWidth="1"/>
    <col min="14" max="16" width="10" bestFit="1" customWidth="1"/>
    <col min="17" max="17" width="8.21875" bestFit="1" customWidth="1"/>
    <col min="18" max="18" width="10" bestFit="1" customWidth="1"/>
    <col min="19" max="19" width="11.77734375" bestFit="1" customWidth="1"/>
    <col min="20" max="20" width="14.33203125" style="18" customWidth="1"/>
    <col min="21" max="24" width="11.88671875" bestFit="1" customWidth="1"/>
    <col min="25" max="25" width="13.21875" bestFit="1" customWidth="1"/>
    <col min="26" max="26" width="14" bestFit="1" customWidth="1"/>
    <col min="27" max="27" width="11.77734375" bestFit="1" customWidth="1"/>
    <col min="28" max="28" width="11.88671875" bestFit="1" customWidth="1"/>
    <col min="29" max="29" width="12.33203125" style="18" bestFit="1" customWidth="1"/>
  </cols>
  <sheetData>
    <row r="1" spans="1:29" ht="90">
      <c r="A1" s="21" t="s">
        <v>62</v>
      </c>
      <c r="B1" s="21" t="s">
        <v>502</v>
      </c>
      <c r="C1" s="21" t="s">
        <v>534</v>
      </c>
      <c r="D1" s="21" t="s">
        <v>190</v>
      </c>
      <c r="E1" s="21" t="s">
        <v>500</v>
      </c>
      <c r="F1" s="21" t="s">
        <v>501</v>
      </c>
      <c r="G1" s="21" t="s">
        <v>123</v>
      </c>
      <c r="H1" s="54" t="s">
        <v>188</v>
      </c>
      <c r="I1" s="21" t="s">
        <v>505</v>
      </c>
      <c r="J1" s="21" t="s">
        <v>535</v>
      </c>
      <c r="K1" s="55" t="s">
        <v>504</v>
      </c>
      <c r="L1" s="21" t="s">
        <v>236</v>
      </c>
      <c r="M1" s="21" t="s">
        <v>65</v>
      </c>
      <c r="N1" s="21" t="s">
        <v>506</v>
      </c>
      <c r="O1" s="21" t="s">
        <v>66</v>
      </c>
      <c r="P1" s="21" t="s">
        <v>235</v>
      </c>
      <c r="Q1" s="21" t="s">
        <v>67</v>
      </c>
      <c r="R1" s="21" t="s">
        <v>148</v>
      </c>
      <c r="S1" s="21" t="s">
        <v>503</v>
      </c>
      <c r="T1" s="21" t="s">
        <v>151</v>
      </c>
      <c r="U1" s="21" t="s">
        <v>182</v>
      </c>
      <c r="V1" s="21" t="s">
        <v>367</v>
      </c>
      <c r="W1" s="21" t="s">
        <v>187</v>
      </c>
      <c r="X1" s="21" t="s">
        <v>366</v>
      </c>
      <c r="Y1" s="21" t="s">
        <v>193</v>
      </c>
      <c r="Z1" s="21" t="s">
        <v>369</v>
      </c>
      <c r="AA1" s="21" t="s">
        <v>243</v>
      </c>
      <c r="AB1" s="21" t="s">
        <v>371</v>
      </c>
      <c r="AC1" s="21" t="s">
        <v>373</v>
      </c>
    </row>
    <row r="2" spans="1:29" ht="19.5" customHeight="1">
      <c r="A2" s="22" t="str">
        <f>IF(INDEX(Veh_Marshal,0,1)="N/A","N/A",'输出-系统进路参数'!B3)</f>
        <v>Szr.S0103</v>
      </c>
      <c r="B2" s="22" t="str">
        <f>IF(INDEX(Veh_Marshal,0,1)="N/A","N/A",'输出-系统进路参数'!E3)</f>
        <v>94.1</v>
      </c>
      <c r="C2" s="22" t="str">
        <f>IF(INDEX(Veh_Marshal,0,1)="N/A","N/A",'输出-系统进路参数'!F3)</f>
        <v>80</v>
      </c>
      <c r="D2" s="22" t="str">
        <f>IF(INDEX(Veh_Marshal,0,1)="N/A","N/A",'输出-系统进路参数'!G3)</f>
        <v>80</v>
      </c>
      <c r="E2" s="22" t="str">
        <f>IF(INDEX(Veh_Marshal,0,1)="N/A","N/A",'输出-系统进路参数'!H3)</f>
        <v>0</v>
      </c>
      <c r="F2" s="22" t="str">
        <f>IF(INDEX(Veh_Marshal,0,1)="N/A","N/A",'输出-系统进路参数'!I3)</f>
        <v>100</v>
      </c>
      <c r="G2" s="22" t="str">
        <f>IF(INDEX(Veh_Marshal,0,1)="N/A","N/A",'输出-系统进路参数'!J3)</f>
        <v>0</v>
      </c>
      <c r="H2" s="22" t="str">
        <f>IF(INDEX(Veh_Marshal,0,1)="N/A","N/A",'输出-系统进路参数'!K3)</f>
        <v>N/A</v>
      </c>
      <c r="I2" s="22" t="str">
        <f>IF(INDEX(Veh_Marshal,0,1)="N/A","N/A",'输出-系统进路参数'!L3)</f>
        <v>N/A</v>
      </c>
      <c r="J2" s="22" t="str">
        <f>IF(INDEX(Veh_Marshal,0,1)="N/A","N/A",'输出-系统进路参数'!M3)</f>
        <v>N/A</v>
      </c>
      <c r="K2" s="22" t="str">
        <f>IF(INDEX(Veh_Marshal,0,1)="N/A","N/A",'输出-系统进路参数'!N3)</f>
        <v>N/A</v>
      </c>
      <c r="L2" s="22" t="str">
        <f>IF(INDEX(Veh_Marshal,0,1)="N/A","N/A",'输出-系统进路参数'!O3)</f>
        <v>N/A</v>
      </c>
      <c r="M2" s="22" t="str">
        <f>IF(INDEX(Veh_Marshal,0,1)="N/A","N/A",'输出-系统进路参数'!P3)</f>
        <v>0201G</v>
      </c>
      <c r="N2" s="22" t="str">
        <f>IF(INDEX(Veh_Marshal,0,1)="N/A","N/A",'输出-系统进路参数'!Q3)</f>
        <v>0</v>
      </c>
      <c r="O2" s="22" t="str">
        <f>IF(INDEX(Veh_Marshal,0,1)="N/A","N/A",'输出-系统进路参数'!R3)</f>
        <v>94.1</v>
      </c>
      <c r="P2" s="22" t="str">
        <f>IF(INDEX(Veh_Marshal,0,1)="N/A","N/A",'输出-系统进路参数'!S3)</f>
        <v>0</v>
      </c>
      <c r="Q2" s="22" t="str">
        <f>IF(INDEX(Veh_Marshal,0,1)="N/A","N/A",'输出-系统进路参数'!T3)</f>
        <v>0103G</v>
      </c>
      <c r="R2" s="22" t="str">
        <f>IF(INDEX(Veh_Marshal,0,1)="N/A","N/A",'输出-系统进路参数'!U3)</f>
        <v>FALSE</v>
      </c>
      <c r="S2" s="30" t="str">
        <f t="shared" ref="S2:S4" si="0">IF($A2="N/A","N/A",IF($F2="N/A",CEILING($C2/3.6*(CFG_T_EB_OUT+CFG_T_EB_SETUP)/1000+($C2/3.6)^2/(INDEX(Veh_Gebr,0,1)+$E2/1000*9.8)/2,0.001),$F2))</f>
        <v>100</v>
      </c>
      <c r="T2" s="51">
        <f t="shared" ref="T2:T4" si="1">IF($A2="N/A","N/A",
CEILING(
MAX(
IF($I2="N/A",0,
$C2/3.6*(Equ_AxleOccupyDelay+Conf_VibInTime_CBI+IF($R2="TRUE",CFG_T_CBI_ALIVE_TO_CBI,0)+IF($H2="Type_Beacon",Equ_BeaconWriteDelay,0))/1000+Equ_BeaconReadDiff+Proj_BeaconFixDiff+$J2),
$C2/3.6*(MAX(Equ_AxleOccupyDelay+Conf_VibInTime_CBI,CFG_T_CC_ALIVE_TO_ZC+CFG_T_ZC_ALIVE_TO_CBI)+CFG_T_CBI_ALIVE_TO_ZC+CFG_T_ZC_ALIVE_TO_CC)/1000
+$C2/3.6*IF($R2="TRUE",CFG_T_CBI_ALIVE_TO_CBI/1000,0)
+IF($F2="N/A",$S2,IF(VALUE($F2)&gt;VALUE($S2),$F2,$S2))
+Conf_SafeMarginDist+Proj_Sig2AxleDist+INDEX(Veh_Hook2Roller,0,1))
+CFG_ERR_MAX_LOC/2000,1))</f>
        <v>498</v>
      </c>
      <c r="U2" s="51">
        <f t="shared" ref="U2:U4" si="2">IF($A2="N/A","N/A",
CEILING(IF($H2="Type_Beacon",
IF($I2="N/A",$L2/(IF(VALUE(Proj_RmMaxForwSpd)&lt;VALUE(Conf_ReleaseSpd),Proj_RmMaxForwSpd,Conf_ReleaseSpd)/3.6-ATO速度_EB速度余量/3.6)*1000,
$J2/IF(Proj_MinDriverSpd="0",Proj_RmMaxForwSpd/3.6-ATO速度_EB速度余量/3.6,Proj_MinDriverSpd/3.6)*1000),
IF($H2="Type_Loop",Equ_LoopComDelay,0)),10000)/1000)</f>
        <v>0</v>
      </c>
      <c r="V2" s="52">
        <f t="shared" ref="V2:V4" si="3">IF($A2="N/A","N/A",
CEILING(IF($H2="N/A",纯联锁DMC时间_s,
MAX($U2,CFG_T_CBI_ALIVE_TO_ZC/1000+CFG_T_ZC_ALIVE_TO_CC/1000)+CFG_T_EB_OUT/1000+CFG_T_EB_SETUP/1000+$C2/3.6/(INDEX(Veh_Gebr,0,1)+$E2/1000*9.8)
+(Equ_AxleClearDelay+Conf_VibInTime_CBI)/1000),
10))</f>
        <v>180</v>
      </c>
      <c r="W2" s="52">
        <f t="shared" ref="W2:W4" si="4">IF($A2="N/A","N/A",
IF($H2="Type_Beacon",CEILING($L2/(IF(VALUE(Proj_RmMaxForwSpd)&lt;VALUE(Conf_ReleaseSpd),Proj_RmMaxForwSpd,Conf_ReleaseSpd)/3.6-ATO速度_EB速度余量/3.6),10),$U2))</f>
        <v>0</v>
      </c>
      <c r="X2" s="29">
        <f t="shared" ref="X2:X4" si="5">IF($A2="N/A","N/A",
IF($H2="Type_Beacon",
CEILING(($W2*1000+CFG_T_EB_OUT+CFG_T_EB_SETUP
+$C2/3.6/(INDEX(Veh_Gebr,0,1)+$E2/1000*9.8)*1000
+Equ_AxleClearDelay+Conf_VibInTime_CBI)/1000,
10),$V2))</f>
        <v>180</v>
      </c>
      <c r="Y2" s="30">
        <f t="shared" ref="Y2:Y4" si="6">IF($A2="N/A","N/A",
IF($M2="N/A","N/A",
IF($Q2="N/A","N/A",
CEILING(SQRT(2*($O2-INDEX(Veh_Length,0,1)+INDEX(Veh_Hook2Roller,0,1)-Proj_Sp2AxleDist)/(INDEX(Veh_NormDec,0,1)+$P2/1000*9.8))*1000*2,5000)/1000)))</f>
        <v>25</v>
      </c>
      <c r="Z2" s="30">
        <f t="shared" ref="Z2:Z4" si="7">IF($A2="N/A","N/A",
IF($M2="N/A","N/A",
IF($Q2="N/A","N/A",
CEILING(($Y2*1000+CFG_T_EB_OUT+CFG_T_EB_SETUP
+((SQRT((2*INDEX(Veh_Gebr,0,1)*(INDEX(Veh_MaxAcc,0,1)-$P2/1000*9.8)*CFG_T_EB_SETUP/1000)^2
       +4*(INDEX(Veh_Gebr,0,1)+INDEX(Veh_MaxAcc,0,1))*(INDEX(Veh_MaxAcc,0,1)-$P2/1000*9.8)*(INDEX(Veh_Gebr,0,1)*$P2/1000*9.8*(CFG_T_EB_SETUP/1000)^2
           +2*(INDEX(Veh_Gebr,0,1)+$P2/1000*9.8)*($O2-INDEX(Veh_Length,0,1)+INDEX(Veh_Hook2Roller,0,1))))
    -2*INDEX(Veh_Gebr,0,1)*(INDEX(Veh_MaxAcc,0,1)-$P2/1000*9.8)*CFG_T_EB_SETUP/1000)
  /2/(INDEX(Veh_MaxAcc,0,1)+INDEX(Veh_Gebr,0,1))-$P2/1000*9.8*CFG_T_EB_SETUP/1000)/(INDEX(Veh_Gebr,0,1)+$P2/1000*9.8)*1000
+Equ_AxleClearDelay+Conf_VibInTime_CBI)/1000,
10)
)))</f>
        <v>40</v>
      </c>
      <c r="AA2" s="30">
        <f t="shared" ref="AA2:AA4" si="8">IF($A2="N/A","N/A",
IF($Q2="N/A","N/A",
FLOOR((Proj_RmMaxForwSpd/3.6-ATO速度_EB速度余量/3.6)*1000/INDEX(Veh_NormDec,0,1)
+(Proj_RmMaxForwSpd/3.6-ATO速度_EB速度余量/3.6)*1000/INDEX(Veh_MaxAcc,0,1)
+($B2-(Proj_RmMaxForwSpd/3.6-ATO速度_EB速度余量/3.6)^2/(2*INDEX(Veh_NormDec,0,1))-(Proj_RmMaxForwSpd/3.6-ATO速度_EB速度余量/3.6)^2/(2*INDEX(Veh_MaxAcc,0,1)))/(Proj_RmMaxForwSpd/3.6-ATO速度_EB速度余量/3.6)*1000
+$N2*1000,5000)/1000))</f>
        <v>20</v>
      </c>
      <c r="AB2" s="30">
        <f t="shared" ref="AB2:AB4" si="9">IF($A2="N/A","N/A",
IF($Q2="N/A","N/A",
CEILING(($AA2*1000+CFG_T_EB_OUT+CFG_T_EB_SETUP
+$D2/3.6/(INDEX(Veh_Gebr,0,1)+$G2/1000*9.8)*1000
+Equ_AxleClearDelay+Conf_VibInTime_CBI)/1000,
10)
))</f>
        <v>60</v>
      </c>
      <c r="AC2" s="30">
        <f t="shared" ref="AC2:AC4" si="10">IF($A2="N/A","N/A",
CEILING(司机反应时间*1000
+INDEX(Veh_FsbTracCutDelay,0,1)+INDEX(Veh_FsbSetDelay,0,1)+INDEX(Veh_FsbCoastTime,0,1)
+Proj_RmMaxForwSpd/3.6/(INDEX(Veh_Fsbr,0,1)-Proj_MaxLineGrad*9.8/1000)*1000
+Equ_AxleClearDelay
+Conf_VibInTime_CBI,
10000)/1000)</f>
        <v>30</v>
      </c>
    </row>
    <row r="3" spans="1:29">
      <c r="A3" s="50" t="str">
        <f>IF(INDEX(Veh_Marshal,0,1)="N/A","N/A",'输出-系统进路参数'!B4)</f>
        <v>S0103.S0107</v>
      </c>
      <c r="B3" s="50" t="str">
        <f>IF(INDEX(Veh_Marshal,0,1)="N/A","N/A",'输出-系统进路参数'!E4)</f>
        <v>323.967</v>
      </c>
      <c r="C3" s="50" t="str">
        <f>IF(INDEX(Veh_Marshal,0,1)="N/A","N/A",'输出-系统进路参数'!F4)</f>
        <v>80</v>
      </c>
      <c r="D3" s="50" t="str">
        <f>IF(INDEX(Veh_Marshal,0,1)="N/A","N/A",'输出-系统进路参数'!G4)</f>
        <v>80</v>
      </c>
      <c r="E3" s="50" t="str">
        <f>IF(INDEX(Veh_Marshal,0,1)="N/A","N/A",'输出-系统进路参数'!H4)</f>
        <v>0</v>
      </c>
      <c r="F3" s="50" t="str">
        <f>IF(INDEX(Veh_Marshal,0,1)="N/A","N/A",'输出-系统进路参数'!I4)</f>
        <v>200</v>
      </c>
      <c r="G3" s="50" t="str">
        <f>IF(INDEX(Veh_Marshal,0,1)="N/A","N/A",'输出-系统进路参数'!J4)</f>
        <v>-53.8</v>
      </c>
      <c r="H3" s="22" t="str">
        <f>IF(INDEX(Veh_Marshal,0,1)="N/A","N/A",'输出-系统进路参数'!K4)</f>
        <v>Type_Beacon</v>
      </c>
      <c r="I3" s="22" t="str">
        <f>IF(INDEX(Veh_Marshal,0,1)="N/A","N/A",'输出-系统进路参数'!L4)</f>
        <v>B0101</v>
      </c>
      <c r="J3" s="22" t="str">
        <f>IF(INDEX(Veh_Marshal,0,1)="N/A","N/A",'输出-系统进路参数'!M4)</f>
        <v>700</v>
      </c>
      <c r="K3" s="22" t="str">
        <f>IF(INDEX(Veh_Marshal,0,1)="N/A","N/A",'输出-系统进路参数'!N4)</f>
        <v>VB0103</v>
      </c>
      <c r="L3" s="22" t="str">
        <f>IF(INDEX(Veh_Marshal,0,1)="N/A","N/A",'输出-系统进路参数'!O4)</f>
        <v>9</v>
      </c>
      <c r="M3" s="22" t="str">
        <f>IF(INDEX(Veh_Marshal,0,1)="N/A","N/A",'输出-系统进路参数'!P4)</f>
        <v>0207G</v>
      </c>
      <c r="N3" s="22" t="str">
        <f>IF(INDEX(Veh_Marshal,0,1)="N/A","N/A",'输出-系统进路参数'!Q4)</f>
        <v>0</v>
      </c>
      <c r="O3" s="22" t="str">
        <f>IF(INDEX(Veh_Marshal,0,1)="N/A","N/A",'输出-系统进路参数'!R4)</f>
        <v>61.967</v>
      </c>
      <c r="P3" s="50" t="str">
        <f>IF(INDEX(Veh_Marshal,0,1)="N/A","N/A",'输出-系统进路参数'!S4)</f>
        <v>0</v>
      </c>
      <c r="Q3" s="50" t="str">
        <f>IF(INDEX(Veh_Marshal,0,1)="N/A","N/A",'输出-系统进路参数'!T4)</f>
        <v>0109DG</v>
      </c>
      <c r="R3" s="50" t="str">
        <f>IF(INDEX(Veh_Marshal,0,1)="N/A","N/A",'输出-系统进路参数'!U4)</f>
        <v>FALSE</v>
      </c>
      <c r="S3" s="30" t="str">
        <f t="shared" si="0"/>
        <v>200</v>
      </c>
      <c r="T3" s="51">
        <f t="shared" si="1"/>
        <v>770</v>
      </c>
      <c r="U3" s="51">
        <f t="shared" si="2"/>
        <v>60</v>
      </c>
      <c r="V3" s="52">
        <f t="shared" si="3"/>
        <v>100</v>
      </c>
      <c r="W3" s="52">
        <f t="shared" si="4"/>
        <v>10</v>
      </c>
      <c r="X3" s="29">
        <f t="shared" si="5"/>
        <v>50</v>
      </c>
      <c r="Y3" s="30">
        <f t="shared" si="6"/>
        <v>10</v>
      </c>
      <c r="Z3" s="30">
        <f t="shared" si="7"/>
        <v>20</v>
      </c>
      <c r="AA3" s="30">
        <f t="shared" si="8"/>
        <v>65</v>
      </c>
      <c r="AB3" s="30">
        <f t="shared" si="9"/>
        <v>160</v>
      </c>
      <c r="AC3" s="30">
        <f t="shared" si="10"/>
        <v>30</v>
      </c>
    </row>
    <row r="4" spans="1:29">
      <c r="A4" s="50" t="str">
        <f>IF(INDEX(Veh_Marshal,0,1)="N/A","N/A",'输出-系统进路参数'!B5)</f>
        <v>X0105.Xr</v>
      </c>
      <c r="B4" s="50" t="str">
        <f>IF(INDEX(Veh_Marshal,0,1)="N/A","N/A",'输出-系统进路参数'!E5)</f>
        <v>356.1</v>
      </c>
      <c r="C4" s="50" t="str">
        <f>IF(INDEX(Veh_Marshal,0,1)="N/A","N/A",'输出-系统进路参数'!F5)</f>
        <v>80</v>
      </c>
      <c r="D4" s="50" t="str">
        <f>IF(INDEX(Veh_Marshal,0,1)="N/A","N/A",'输出-系统进路参数'!G5)</f>
        <v>80</v>
      </c>
      <c r="E4" s="50" t="str">
        <f>IF(INDEX(Veh_Marshal,0,1)="N/A","N/A",'输出-系统进路参数'!H5)</f>
        <v>0</v>
      </c>
      <c r="F4" s="50" t="str">
        <f>IF(INDEX(Veh_Marshal,0,1)="N/A","N/A",'输出-系统进路参数'!I5)</f>
        <v>300</v>
      </c>
      <c r="G4" s="50" t="str">
        <f>IF(INDEX(Veh_Marshal,0,1)="N/A","N/A",'输出-系统进路参数'!J5)</f>
        <v>-41</v>
      </c>
      <c r="H4" s="22" t="str">
        <f>IF(INDEX(Veh_Marshal,0,1)="N/A","N/A",'输出-系统进路参数'!K5)</f>
        <v>Type_Beacon</v>
      </c>
      <c r="I4" s="22" t="str">
        <f>IF(INDEX(Veh_Marshal,0,1)="N/A","N/A",'输出-系统进路参数'!L5)</f>
        <v>N/A</v>
      </c>
      <c r="J4" s="22" t="str">
        <f>IF(INDEX(Veh_Marshal,0,1)="N/A","N/A",'输出-系统进路参数'!M5)</f>
        <v>N/A</v>
      </c>
      <c r="K4" s="22" t="str">
        <f>IF(INDEX(Veh_Marshal,0,1)="N/A","N/A",'输出-系统进路参数'!N5)</f>
        <v>VB0105</v>
      </c>
      <c r="L4" s="22" t="str">
        <f>IF(INDEX(Veh_Marshal,0,1)="N/A","N/A",'输出-系统进路参数'!O5)</f>
        <v>9</v>
      </c>
      <c r="M4" s="22" t="str">
        <f>IF(INDEX(Veh_Marshal,0,1)="N/A","N/A",'输出-系统进路参数'!P5)</f>
        <v>0201G</v>
      </c>
      <c r="N4" s="22" t="str">
        <f>IF(INDEX(Veh_Marshal,0,1)="N/A","N/A",'输出-系统进路参数'!Q5)</f>
        <v>0</v>
      </c>
      <c r="O4" s="22" t="str">
        <f>IF(INDEX(Veh_Marshal,0,1)="N/A","N/A",'输出-系统进路参数'!R5)</f>
        <v>94.1</v>
      </c>
      <c r="P4" s="50" t="str">
        <f>IF(INDEX(Veh_Marshal,0,1)="N/A","N/A",'输出-系统进路参数'!S5)</f>
        <v>0</v>
      </c>
      <c r="Q4" s="50" t="str">
        <f>IF(INDEX(Veh_Marshal,0,1)="N/A","N/A",'输出-系统进路参数'!T5)</f>
        <v>N/A</v>
      </c>
      <c r="R4" s="50" t="str">
        <f>IF(INDEX(Veh_Marshal,0,1)="N/A","N/A",'输出-系统进路参数'!U5)</f>
        <v>FALSE</v>
      </c>
      <c r="S4" s="30" t="str">
        <f t="shared" si="0"/>
        <v>300</v>
      </c>
      <c r="T4" s="51">
        <f t="shared" si="1"/>
        <v>698</v>
      </c>
      <c r="U4" s="51">
        <f t="shared" si="2"/>
        <v>10</v>
      </c>
      <c r="V4" s="52">
        <f t="shared" si="3"/>
        <v>50</v>
      </c>
      <c r="W4" s="52">
        <f t="shared" si="4"/>
        <v>10</v>
      </c>
      <c r="X4" s="52">
        <f t="shared" si="5"/>
        <v>50</v>
      </c>
      <c r="Y4" s="30" t="str">
        <f t="shared" si="6"/>
        <v>N/A</v>
      </c>
      <c r="Z4" s="30" t="str">
        <f t="shared" si="7"/>
        <v>N/A</v>
      </c>
      <c r="AA4" s="30" t="str">
        <f t="shared" si="8"/>
        <v>N/A</v>
      </c>
      <c r="AB4" s="30" t="str">
        <f t="shared" si="9"/>
        <v>N/A</v>
      </c>
      <c r="AC4" s="30">
        <f t="shared" si="10"/>
        <v>30</v>
      </c>
    </row>
  </sheetData>
  <protectedRanges>
    <protectedRange sqref="A2:R4" name="区域1"/>
  </protectedRanges>
  <phoneticPr fontId="1" type="noConversion"/>
  <conditionalFormatting sqref="S2:AC4">
    <cfRule type="cellIs" dxfId="18" priority="2" operator="equal">
      <formula>"N/A"</formula>
    </cfRule>
  </conditionalFormatting>
  <conditionalFormatting sqref="S2:AC4">
    <cfRule type="cellIs" dxfId="17" priority="1" operator="equal">
      <formula>"N/A"</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
  <sheetViews>
    <sheetView zoomScale="70" zoomScaleNormal="70" workbookViewId="0">
      <selection activeCell="A5" sqref="A5:XFD601"/>
    </sheetView>
  </sheetViews>
  <sheetFormatPr defaultRowHeight="14.4"/>
  <cols>
    <col min="3" max="3" width="10.109375" bestFit="1" customWidth="1"/>
    <col min="5" max="5" width="13.77734375" bestFit="1" customWidth="1"/>
    <col min="6" max="6" width="12.44140625" bestFit="1" customWidth="1"/>
    <col min="8" max="8" width="11.88671875" bestFit="1" customWidth="1"/>
    <col min="17" max="17" width="10.77734375" bestFit="1" customWidth="1"/>
    <col min="19" max="19" width="10.109375" bestFit="1" customWidth="1"/>
    <col min="21" max="21" width="10.109375" bestFit="1" customWidth="1"/>
    <col min="22" max="22" width="10.6640625" bestFit="1" customWidth="1"/>
    <col min="23" max="23" width="10.109375" bestFit="1" customWidth="1"/>
    <col min="24" max="24" width="10.6640625" bestFit="1" customWidth="1"/>
    <col min="25" max="25" width="11.44140625" bestFit="1" customWidth="1"/>
    <col min="26" max="26" width="12" bestFit="1" customWidth="1"/>
    <col min="27" max="27" width="13.6640625" bestFit="1" customWidth="1"/>
    <col min="28" max="28" width="10.6640625" bestFit="1" customWidth="1"/>
    <col min="29" max="29" width="10.6640625" style="46" bestFit="1" customWidth="1"/>
  </cols>
  <sheetData>
    <row r="1" spans="1:29" ht="91.2">
      <c r="A1" s="21" t="s">
        <v>62</v>
      </c>
      <c r="B1" s="21" t="s">
        <v>502</v>
      </c>
      <c r="C1" s="21" t="s">
        <v>499</v>
      </c>
      <c r="D1" s="21" t="s">
        <v>190</v>
      </c>
      <c r="E1" s="21" t="s">
        <v>500</v>
      </c>
      <c r="F1" s="21" t="s">
        <v>501</v>
      </c>
      <c r="G1" s="21" t="s">
        <v>123</v>
      </c>
      <c r="H1" s="54" t="s">
        <v>188</v>
      </c>
      <c r="I1" s="21" t="s">
        <v>505</v>
      </c>
      <c r="J1" s="21" t="s">
        <v>495</v>
      </c>
      <c r="K1" s="55" t="s">
        <v>504</v>
      </c>
      <c r="L1" s="21" t="s">
        <v>236</v>
      </c>
      <c r="M1" s="21" t="s">
        <v>65</v>
      </c>
      <c r="N1" s="21" t="s">
        <v>506</v>
      </c>
      <c r="O1" s="21" t="s">
        <v>66</v>
      </c>
      <c r="P1" s="21" t="s">
        <v>235</v>
      </c>
      <c r="Q1" s="21" t="s">
        <v>67</v>
      </c>
      <c r="R1" s="21" t="s">
        <v>148</v>
      </c>
      <c r="S1" s="21" t="s">
        <v>503</v>
      </c>
      <c r="T1" s="21" t="s">
        <v>151</v>
      </c>
      <c r="U1" s="21" t="s">
        <v>182</v>
      </c>
      <c r="V1" s="21" t="s">
        <v>367</v>
      </c>
      <c r="W1" s="21" t="s">
        <v>187</v>
      </c>
      <c r="X1" s="21" t="s">
        <v>366</v>
      </c>
      <c r="Y1" s="21" t="s">
        <v>193</v>
      </c>
      <c r="Z1" s="21" t="s">
        <v>369</v>
      </c>
      <c r="AA1" s="21" t="s">
        <v>243</v>
      </c>
      <c r="AB1" s="21" t="s">
        <v>371</v>
      </c>
      <c r="AC1" s="21" t="s">
        <v>373</v>
      </c>
    </row>
    <row r="2" spans="1:29" ht="24" customHeight="1">
      <c r="A2" s="22" t="str">
        <f>IF(INDEX(Veh_Marshal,0,2)="N/A","N/A",'输出-系统进路参数'!B3)</f>
        <v>Szr.S0103</v>
      </c>
      <c r="B2" s="22" t="str">
        <f>IF(INDEX(Veh_Marshal,0,2)="N/A","N/A",'输出-系统进路参数'!E3)</f>
        <v>94.1</v>
      </c>
      <c r="C2" s="22" t="str">
        <f>IF(INDEX(Veh_Marshal,0,2)="N/A","N/A",'输出-系统进路参数'!F3)</f>
        <v>80</v>
      </c>
      <c r="D2" s="22" t="str">
        <f>IF(INDEX(Veh_Marshal,0,2)="N/A","N/A",'输出-系统进路参数'!G3)</f>
        <v>80</v>
      </c>
      <c r="E2" s="22" t="str">
        <f>IF(INDEX(Veh_Marshal,0,2)="N/A","N/A",'输出-系统进路参数'!H3)</f>
        <v>0</v>
      </c>
      <c r="F2" s="22" t="str">
        <f>IF(INDEX(Veh_Marshal,0,2)="N/A","N/A",'输出-系统进路参数'!I3)</f>
        <v>100</v>
      </c>
      <c r="G2" s="22" t="str">
        <f>IF(INDEX(Veh_Marshal,0,2)="N/A","N/A",'输出-系统进路参数'!J3)</f>
        <v>0</v>
      </c>
      <c r="H2" s="22" t="str">
        <f>IF(INDEX(Veh_Marshal,0,2)="N/A","N/A",'输出-系统进路参数'!K3)</f>
        <v>N/A</v>
      </c>
      <c r="I2" s="22" t="str">
        <f>IF(INDEX(Veh_Marshal,0,2)="N/A","N/A",'输出-系统进路参数'!L3)</f>
        <v>N/A</v>
      </c>
      <c r="J2" s="22" t="str">
        <f>IF(INDEX(Veh_Marshal,0,2)="N/A","N/A",'输出-系统进路参数'!M3)</f>
        <v>N/A</v>
      </c>
      <c r="K2" s="22" t="str">
        <f>IF(INDEX(Veh_Marshal,0,2)="N/A","N/A",'输出-系统进路参数'!N3)</f>
        <v>N/A</v>
      </c>
      <c r="L2" s="22" t="str">
        <f>IF(INDEX(Veh_Marshal,0,2)="N/A","N/A",'输出-系统进路参数'!O3)</f>
        <v>N/A</v>
      </c>
      <c r="M2" s="22" t="str">
        <f>IF(INDEX(Veh_Marshal,0,2)="N/A","N/A",'输出-系统进路参数'!P3)</f>
        <v>0201G</v>
      </c>
      <c r="N2" s="22" t="str">
        <f>IF(INDEX(Veh_Marshal,0,2)="N/A","N/A",'输出-系统进路参数'!Q3)</f>
        <v>0</v>
      </c>
      <c r="O2" s="22" t="str">
        <f>IF(INDEX(Veh_Marshal,0,2)="N/A","N/A",'输出-系统进路参数'!R3)</f>
        <v>94.1</v>
      </c>
      <c r="P2" s="22" t="str">
        <f>IF(INDEX(Veh_Marshal,0,2)="N/A","N/A",'输出-系统进路参数'!S3)</f>
        <v>0</v>
      </c>
      <c r="Q2" s="22" t="str">
        <f>IF(INDEX(Veh_Marshal,0,2)="N/A","N/A",'输出-系统进路参数'!T3)</f>
        <v>0103G</v>
      </c>
      <c r="R2" s="22" t="str">
        <f>IF(INDEX(Veh_Marshal,0,2)="N/A","N/A",'输出-系统进路参数'!U3)</f>
        <v>FALSE</v>
      </c>
      <c r="S2" s="30" t="str">
        <f t="shared" ref="S2:S4" si="0">IF($A2="N/A","N/A",IF($F2="N/A",CEILING($C2/3.6*(CFG_T_EB_OUT+CFG_T_EB_SETUP)/1000+($C2/3.6)^2/(INDEX(Veh_Gebr,0,2)+$E2/1000*9.8)/2,0.001),$F2))</f>
        <v>100</v>
      </c>
      <c r="T2" s="51">
        <f t="shared" ref="T2:T4" si="1">IF($A2="N/A","N/A",
CEILING(
MAX(
IF($I2="N/A",0,
$C2/3.6*(Equ_AxleOccupyDelay+Conf_VibInTime_CBI+IF($R2="TRUE",CFG_T_CBI_ALIVE_TO_CBI,0)+IF($H2="Type_Beacon",Equ_BeaconWriteDelay,0))/1000+Equ_BeaconReadDiff+Proj_BeaconFixDiff+$J2),
$C2/3.6*(MAX(Equ_AxleOccupyDelay+Conf_VibInTime_CBI,CFG_T_CC_ALIVE_TO_ZC+CFG_T_ZC_ALIVE_TO_CBI)+CFG_T_CBI_ALIVE_TO_ZC+CFG_T_ZC_ALIVE_TO_CC)/1000
+$C2/3.6*IF($R2="TRUE",CFG_T_CBI_ALIVE_TO_CBI/1000,0)
+IF($F2="N/A",$S2,IF(VALUE($F2)&gt;VALUE($S2),$F2,$S2))
+Conf_SafeMarginDist+Proj_Sig2AxleDist+INDEX(Veh_Hook2Roller,0,2))
+CFG_ERR_MAX_LOC/2000,1))</f>
        <v>498</v>
      </c>
      <c r="U2" s="51">
        <f t="shared" ref="U2:U4" si="2">IF($A2="N/A","N/A",
CEILING(IF($H2="Type_Beacon",
IF($I2="N/A",$L2/(IF(VALUE(Proj_RmMaxForwSpd)&lt;VALUE(Conf_ReleaseSpd),Proj_RmMaxForwSpd,Conf_ReleaseSpd)/3.6-ATO速度_EB速度余量/3.6)*1000,
$J2/IF(Proj_MinDriverSpd="0",Proj_RmMaxForwSpd/3.6-ATO速度_EB速度余量/3.6,Proj_MinDriverSpd/3.6)*1000),
IF($H2="Type_Loop",Equ_LoopComDelay,0)),10000)/1000)</f>
        <v>0</v>
      </c>
      <c r="V2" s="52">
        <f t="shared" ref="V2:V4" si="3">IF($A2="N/A","N/A",
CEILING(IF($H2="N/A",纯联锁DMC时间_s,
MAX($U2,CFG_T_CBI_ALIVE_TO_ZC/1000+CFG_T_ZC_ALIVE_TO_CC/1000)+CFG_T_EB_OUT/1000+CFG_T_EB_SETUP/1000+$C2/3.6/(INDEX(Veh_Gebr,0,1)+$E2/1000*9.8)
+(Equ_AxleClearDelay+Conf_VibInTime_CBI)/1000),
10))</f>
        <v>180</v>
      </c>
      <c r="W2" s="52">
        <f t="shared" ref="W2:W4" si="4">IF($A2="N/A","N/A",
IF($H2="Type_Beacon",CEILING($L2/(IF(VALUE(Proj_RmMaxForwSpd)&lt;VALUE(Conf_ReleaseSpd),Proj_RmMaxForwSpd,Conf_ReleaseSpd)/3.6-ATO速度_EB速度余量/3.6),10),$U2))</f>
        <v>0</v>
      </c>
      <c r="X2" s="29">
        <f t="shared" ref="X2:X4" si="5">IF($A2="N/A","N/A",
IF($H2="Type_Beacon",
CEILING(($W2*1000+CFG_T_EB_OUT+CFG_T_EB_SETUP
+$C2/3.6/(INDEX(Veh_Gebr,0,2)+$E2/1000*9.8)*1000
+Equ_AxleClearDelay+Conf_VibInTime_CBI)/1000,
10),$V2))</f>
        <v>180</v>
      </c>
      <c r="Y2" s="30">
        <f t="shared" ref="Y2:Y4" si="6">IF($A2="N/A","N/A",
IF($M2="N/A","N/A",
IF($Q2="N/A","N/A",
CEILING(SQRT(2*($O2-INDEX(Veh_Length,0,2)+INDEX(Veh_Hook2Roller,0,2)-Proj_Sp2AxleDist)/(INDEX(Veh_NormDec,0,2)+$P2/1000*9.8))*1000*2,5000)/1000)))</f>
        <v>25</v>
      </c>
      <c r="Z2" s="30">
        <f t="shared" ref="Z2:Z4" si="7">IF($A2="N/A","N/A",
IF($M2="N/A","N/A",
IF($Q2="N/A","N/A",
CEILING(($Y2*1000+CFG_T_EB_OUT+CFG_T_EB_SETUP
+((SQRT((2*INDEX(Veh_Gebr,0,2)*(INDEX(Veh_MaxAcc,0,2)-$P2/1000*9.8)*CFG_T_EB_SETUP/1000)^2
       +4*(INDEX(Veh_Gebr,0,2)+INDEX(Veh_MaxAcc,0,2))*(INDEX(Veh_MaxAcc,0,2)-$P2/1000*9.8)*(INDEX(Veh_Gebr,0,2)*$P2/1000*9.8*(CFG_T_EB_SETUP/1000)^2
           +2*(INDEX(Veh_Gebr,0,2)+$P2/1000*9.8)*($O2-INDEX(Veh_Length,0,2)+INDEX(Veh_Hook2Roller,0,2))))
    -2*INDEX(Veh_Gebr,0,2)*(INDEX(Veh_MaxAcc,0,2)-$P2/1000*9.8)*CFG_T_EB_SETUP/1000)
  /2/(INDEX(Veh_MaxAcc,0,2)+INDEX(Veh_Gebr,0,2))-$P2/1000*9.8*CFG_T_EB_SETUP/1000)/(INDEX(Veh_Gebr,0,2)+$P2/1000*9.8)*1000
+Equ_AxleClearDelay+Conf_VibInTime_CBI)/1000,
10)
)))</f>
        <v>40</v>
      </c>
      <c r="AA2" s="30">
        <f t="shared" ref="AA2:AA4" si="8">IF($A2="N/A","N/A",
IF($Q2="N/A","N/A",
FLOOR((Proj_RmMaxForwSpd/3.6-ATO速度_EB速度余量/3.6)*1000/INDEX(Veh_NormDec,0,2)
+(Proj_RmMaxForwSpd/3.6-ATO速度_EB速度余量/3.6)*1000/INDEX(Veh_MaxAcc,0,2)
+($B2-(Proj_RmMaxForwSpd/3.6-ATO速度_EB速度余量/3.6)^2/(2*INDEX(Veh_NormDec,0,2))-(Proj_RmMaxForwSpd/3.6-ATO速度_EB速度余量/3.6)^2/(2*INDEX(Veh_MaxAcc,0,2)))/(Proj_RmMaxForwSpd/3.6-ATO速度_EB速度余量/3.6)*1000
+$N2*1000,5000)/1000))</f>
        <v>20</v>
      </c>
      <c r="AB2" s="30">
        <f t="shared" ref="AB2:AB4" si="9">IF($A2="N/A","N/A",
IF($Q2="N/A","N/A",
CEILING(($AA2*1000+CFG_T_EB_OUT+CFG_T_EB_SETUP
+$D2/3.6/(INDEX(Veh_Gebr,0,2)+$G2/1000*9.8)*1000
+Equ_AxleClearDelay+Conf_VibInTime_CBI)/1000,
10)
))</f>
        <v>50</v>
      </c>
      <c r="AC2" s="30">
        <f t="shared" ref="AC2:AC4" si="10">IF($A2="N/A","N/A",
CEILING(司机反应时间*1000
+INDEX(Veh_FsbTracCutDelay,0,2)+INDEX(Veh_FsbSetDelay,0,2)+INDEX(Veh_FsbCoastTime,0,2)
+Proj_RmMaxForwSpd/3.6/(INDEX(Veh_Fsbr,0,2)-Proj_MaxLineGrad*9.8/1000)*1000
+Equ_AxleClearDelay
+Conf_VibInTime_CBI,
10000)/1000)</f>
        <v>30</v>
      </c>
    </row>
    <row r="3" spans="1:29">
      <c r="A3" s="22" t="str">
        <f>IF(INDEX(Veh_Marshal,0,2)="N/A","N/A",'输出-系统进路参数'!B4)</f>
        <v>S0103.S0107</v>
      </c>
      <c r="B3" s="22" t="str">
        <f>IF(INDEX(Veh_Marshal,0,2)="N/A","N/A",'输出-系统进路参数'!E4)</f>
        <v>323.967</v>
      </c>
      <c r="C3" s="22" t="str">
        <f>IF(INDEX(Veh_Marshal,0,2)="N/A","N/A",'输出-系统进路参数'!F4)</f>
        <v>80</v>
      </c>
      <c r="D3" s="22" t="str">
        <f>IF(INDEX(Veh_Marshal,0,2)="N/A","N/A",'输出-系统进路参数'!G4)</f>
        <v>80</v>
      </c>
      <c r="E3" s="22" t="str">
        <f>IF(INDEX(Veh_Marshal,0,2)="N/A","N/A",'输出-系统进路参数'!H4)</f>
        <v>0</v>
      </c>
      <c r="F3" s="22" t="str">
        <f>IF(INDEX(Veh_Marshal,0,2)="N/A","N/A",'输出-系统进路参数'!I4)</f>
        <v>200</v>
      </c>
      <c r="G3" s="22" t="str">
        <f>IF(INDEX(Veh_Marshal,0,2)="N/A","N/A",'输出-系统进路参数'!J4)</f>
        <v>-53.8</v>
      </c>
      <c r="H3" s="22" t="str">
        <f>IF(INDEX(Veh_Marshal,0,2)="N/A","N/A",'输出-系统进路参数'!K4)</f>
        <v>Type_Beacon</v>
      </c>
      <c r="I3" s="22" t="str">
        <f>IF(INDEX(Veh_Marshal,0,2)="N/A","N/A",'输出-系统进路参数'!L4)</f>
        <v>B0101</v>
      </c>
      <c r="J3" s="22" t="str">
        <f>IF(INDEX(Veh_Marshal,0,2)="N/A","N/A",'输出-系统进路参数'!M4)</f>
        <v>700</v>
      </c>
      <c r="K3" s="22" t="str">
        <f>IF(INDEX(Veh_Marshal,0,2)="N/A","N/A",'输出-系统进路参数'!N4)</f>
        <v>VB0103</v>
      </c>
      <c r="L3" s="22" t="str">
        <f>IF(INDEX(Veh_Marshal,0,2)="N/A","N/A",'输出-系统进路参数'!O4)</f>
        <v>9</v>
      </c>
      <c r="M3" s="22" t="str">
        <f>IF(INDEX(Veh_Marshal,0,2)="N/A","N/A",'输出-系统进路参数'!P4)</f>
        <v>0207G</v>
      </c>
      <c r="N3" s="22" t="str">
        <f>IF(INDEX(Veh_Marshal,0,2)="N/A","N/A",'输出-系统进路参数'!Q4)</f>
        <v>0</v>
      </c>
      <c r="O3" s="22" t="str">
        <f>IF(INDEX(Veh_Marshal,0,2)="N/A","N/A",'输出-系统进路参数'!R4)</f>
        <v>61.967</v>
      </c>
      <c r="P3" s="22" t="str">
        <f>IF(INDEX(Veh_Marshal,0,2)="N/A","N/A",'输出-系统进路参数'!S4)</f>
        <v>0</v>
      </c>
      <c r="Q3" s="22" t="str">
        <f>IF(INDEX(Veh_Marshal,0,2)="N/A","N/A",'输出-系统进路参数'!T4)</f>
        <v>0109DG</v>
      </c>
      <c r="R3" s="22" t="str">
        <f>IF(INDEX(Veh_Marshal,0,2)="N/A","N/A",'输出-系统进路参数'!U4)</f>
        <v>FALSE</v>
      </c>
      <c r="S3" s="30" t="str">
        <f t="shared" si="0"/>
        <v>200</v>
      </c>
      <c r="T3" s="51">
        <f t="shared" si="1"/>
        <v>770</v>
      </c>
      <c r="U3" s="51">
        <f t="shared" si="2"/>
        <v>60</v>
      </c>
      <c r="V3" s="52">
        <f t="shared" si="3"/>
        <v>100</v>
      </c>
      <c r="W3" s="52">
        <f t="shared" si="4"/>
        <v>10</v>
      </c>
      <c r="X3" s="52">
        <f t="shared" si="5"/>
        <v>40</v>
      </c>
      <c r="Y3" s="30">
        <f t="shared" si="6"/>
        <v>10</v>
      </c>
      <c r="Z3" s="30">
        <f t="shared" si="7"/>
        <v>20</v>
      </c>
      <c r="AA3" s="30">
        <f t="shared" si="8"/>
        <v>65</v>
      </c>
      <c r="AB3" s="30">
        <f t="shared" si="9"/>
        <v>120</v>
      </c>
      <c r="AC3" s="30">
        <f t="shared" si="10"/>
        <v>30</v>
      </c>
    </row>
    <row r="4" spans="1:29">
      <c r="A4" s="22" t="str">
        <f>IF(INDEX(Veh_Marshal,0,2)="N/A","N/A",'输出-系统进路参数'!B5)</f>
        <v>X0105.Xr</v>
      </c>
      <c r="B4" s="22" t="str">
        <f>IF(INDEX(Veh_Marshal,0,2)="N/A","N/A",'输出-系统进路参数'!E5)</f>
        <v>356.1</v>
      </c>
      <c r="C4" s="22" t="str">
        <f>IF(INDEX(Veh_Marshal,0,2)="N/A","N/A",'输出-系统进路参数'!F5)</f>
        <v>80</v>
      </c>
      <c r="D4" s="22" t="str">
        <f>IF(INDEX(Veh_Marshal,0,2)="N/A","N/A",'输出-系统进路参数'!G5)</f>
        <v>80</v>
      </c>
      <c r="E4" s="22" t="str">
        <f>IF(INDEX(Veh_Marshal,0,2)="N/A","N/A",'输出-系统进路参数'!H5)</f>
        <v>0</v>
      </c>
      <c r="F4" s="22" t="str">
        <f>IF(INDEX(Veh_Marshal,0,2)="N/A","N/A",'输出-系统进路参数'!I5)</f>
        <v>300</v>
      </c>
      <c r="G4" s="22" t="str">
        <f>IF(INDEX(Veh_Marshal,0,2)="N/A","N/A",'输出-系统进路参数'!J5)</f>
        <v>-41</v>
      </c>
      <c r="H4" s="22" t="str">
        <f>IF(INDEX(Veh_Marshal,0,2)="N/A","N/A",'输出-系统进路参数'!K5)</f>
        <v>Type_Beacon</v>
      </c>
      <c r="I4" s="22" t="str">
        <f>IF(INDEX(Veh_Marshal,0,2)="N/A","N/A",'输出-系统进路参数'!L5)</f>
        <v>N/A</v>
      </c>
      <c r="J4" s="22" t="str">
        <f>IF(INDEX(Veh_Marshal,0,2)="N/A","N/A",'输出-系统进路参数'!M5)</f>
        <v>N/A</v>
      </c>
      <c r="K4" s="22" t="str">
        <f>IF(INDEX(Veh_Marshal,0,2)="N/A","N/A",'输出-系统进路参数'!N5)</f>
        <v>VB0105</v>
      </c>
      <c r="L4" s="22" t="str">
        <f>IF(INDEX(Veh_Marshal,0,2)="N/A","N/A",'输出-系统进路参数'!O5)</f>
        <v>9</v>
      </c>
      <c r="M4" s="22" t="str">
        <f>IF(INDEX(Veh_Marshal,0,2)="N/A","N/A",'输出-系统进路参数'!P5)</f>
        <v>0201G</v>
      </c>
      <c r="N4" s="22" t="str">
        <f>IF(INDEX(Veh_Marshal,0,2)="N/A","N/A",'输出-系统进路参数'!Q5)</f>
        <v>0</v>
      </c>
      <c r="O4" s="22" t="str">
        <f>IF(INDEX(Veh_Marshal,0,2)="N/A","N/A",'输出-系统进路参数'!R5)</f>
        <v>94.1</v>
      </c>
      <c r="P4" s="22" t="str">
        <f>IF(INDEX(Veh_Marshal,0,2)="N/A","N/A",'输出-系统进路参数'!S5)</f>
        <v>0</v>
      </c>
      <c r="Q4" s="22" t="str">
        <f>IF(INDEX(Veh_Marshal,0,2)="N/A","N/A",'输出-系统进路参数'!T5)</f>
        <v>N/A</v>
      </c>
      <c r="R4" s="22" t="str">
        <f>IF(INDEX(Veh_Marshal,0,2)="N/A","N/A",'输出-系统进路参数'!U5)</f>
        <v>FALSE</v>
      </c>
      <c r="S4" s="30" t="str">
        <f t="shared" si="0"/>
        <v>300</v>
      </c>
      <c r="T4" s="51">
        <f t="shared" si="1"/>
        <v>698</v>
      </c>
      <c r="U4" s="51">
        <f t="shared" si="2"/>
        <v>10</v>
      </c>
      <c r="V4" s="52">
        <f t="shared" si="3"/>
        <v>50</v>
      </c>
      <c r="W4" s="52">
        <f t="shared" si="4"/>
        <v>10</v>
      </c>
      <c r="X4" s="52">
        <f t="shared" si="5"/>
        <v>40</v>
      </c>
      <c r="Y4" s="30" t="str">
        <f t="shared" si="6"/>
        <v>N/A</v>
      </c>
      <c r="Z4" s="30" t="str">
        <f t="shared" si="7"/>
        <v>N/A</v>
      </c>
      <c r="AA4" s="30" t="str">
        <f t="shared" si="8"/>
        <v>N/A</v>
      </c>
      <c r="AB4" s="30" t="str">
        <f t="shared" si="9"/>
        <v>N/A</v>
      </c>
      <c r="AC4" s="30">
        <f t="shared" si="10"/>
        <v>30</v>
      </c>
    </row>
  </sheetData>
  <protectedRanges>
    <protectedRange sqref="A2:R4" name="区域1_1"/>
  </protectedRanges>
  <phoneticPr fontId="1" type="noConversion"/>
  <conditionalFormatting sqref="S5:AC1048576">
    <cfRule type="cellIs" dxfId="16" priority="5" operator="equal">
      <formula>"N/A"</formula>
    </cfRule>
  </conditionalFormatting>
  <conditionalFormatting sqref="W2:AC4 S2:T4">
    <cfRule type="cellIs" dxfId="15" priority="4" operator="equal">
      <formula>"N/A"</formula>
    </cfRule>
  </conditionalFormatting>
  <conditionalFormatting sqref="W2:AC4 S2:T4">
    <cfRule type="cellIs" dxfId="14" priority="3" operator="equal">
      <formula>"N/A"</formula>
    </cfRule>
  </conditionalFormatting>
  <conditionalFormatting sqref="U2:V4">
    <cfRule type="cellIs" dxfId="13" priority="2" operator="equal">
      <formula>"N/A"</formula>
    </cfRule>
  </conditionalFormatting>
  <conditionalFormatting sqref="U2:V4">
    <cfRule type="cellIs" dxfId="12" priority="1" operator="equal">
      <formula>"N/A"</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
  <sheetViews>
    <sheetView zoomScale="70" zoomScaleNormal="70" workbookViewId="0">
      <selection activeCell="A5" sqref="A5:XFD601"/>
    </sheetView>
  </sheetViews>
  <sheetFormatPr defaultRowHeight="14.4"/>
  <cols>
    <col min="1" max="1" width="11.6640625" style="18" bestFit="1" customWidth="1"/>
    <col min="2" max="2" width="9" style="18"/>
    <col min="3" max="3" width="10.109375" style="18" bestFit="1" customWidth="1"/>
    <col min="4" max="4" width="9" style="18"/>
    <col min="5" max="5" width="13.77734375" style="18" bestFit="1" customWidth="1"/>
    <col min="6" max="6" width="10.6640625" style="18" bestFit="1" customWidth="1"/>
    <col min="7" max="7" width="9" style="18"/>
    <col min="8" max="8" width="11.88671875" style="18" bestFit="1" customWidth="1"/>
    <col min="9" max="16" width="9" style="18"/>
    <col min="17" max="17" width="10.77734375" style="18" bestFit="1" customWidth="1"/>
    <col min="18" max="18" width="9" style="18"/>
    <col min="19" max="19" width="10.109375" bestFit="1" customWidth="1"/>
    <col min="20" max="20" width="9" style="18"/>
    <col min="29" max="29" width="9" style="46"/>
  </cols>
  <sheetData>
    <row r="1" spans="1:29" ht="115.2">
      <c r="A1" s="21" t="s">
        <v>62</v>
      </c>
      <c r="B1" s="21" t="s">
        <v>502</v>
      </c>
      <c r="C1" s="21" t="s">
        <v>499</v>
      </c>
      <c r="D1" s="21" t="s">
        <v>190</v>
      </c>
      <c r="E1" s="21" t="s">
        <v>500</v>
      </c>
      <c r="F1" s="21" t="s">
        <v>501</v>
      </c>
      <c r="G1" s="21" t="s">
        <v>123</v>
      </c>
      <c r="H1" s="54" t="s">
        <v>188</v>
      </c>
      <c r="I1" s="21" t="s">
        <v>505</v>
      </c>
      <c r="J1" s="21" t="s">
        <v>495</v>
      </c>
      <c r="K1" s="55" t="s">
        <v>504</v>
      </c>
      <c r="L1" s="21" t="s">
        <v>236</v>
      </c>
      <c r="M1" s="21" t="s">
        <v>65</v>
      </c>
      <c r="N1" s="21" t="s">
        <v>506</v>
      </c>
      <c r="O1" s="21" t="s">
        <v>66</v>
      </c>
      <c r="P1" s="21" t="s">
        <v>235</v>
      </c>
      <c r="Q1" s="21" t="s">
        <v>67</v>
      </c>
      <c r="R1" s="21" t="s">
        <v>148</v>
      </c>
      <c r="S1" s="21" t="s">
        <v>503</v>
      </c>
      <c r="T1" s="21" t="s">
        <v>151</v>
      </c>
      <c r="U1" s="21" t="s">
        <v>182</v>
      </c>
      <c r="V1" s="21" t="s">
        <v>367</v>
      </c>
      <c r="W1" s="21" t="s">
        <v>187</v>
      </c>
      <c r="X1" s="21" t="s">
        <v>366</v>
      </c>
      <c r="Y1" s="21" t="s">
        <v>193</v>
      </c>
      <c r="Z1" s="21" t="s">
        <v>369</v>
      </c>
      <c r="AA1" s="21" t="s">
        <v>243</v>
      </c>
      <c r="AB1" s="21" t="s">
        <v>371</v>
      </c>
      <c r="AC1" s="21" t="s">
        <v>373</v>
      </c>
    </row>
    <row r="2" spans="1:29">
      <c r="A2" s="22" t="str">
        <f>IF(INDEX(Veh_Marshal,0,3)="N/A","N/A",'输出-系统进路参数'!B3)</f>
        <v>Szr.S0103</v>
      </c>
      <c r="B2" s="22" t="str">
        <f>IF(INDEX(Veh_Marshal,0,3)="N/A","N/A",'输出-系统进路参数'!E3)</f>
        <v>94.1</v>
      </c>
      <c r="C2" s="22" t="str">
        <f>IF(INDEX(Veh_Marshal,0,3)="N/A","N/A",'输出-系统进路参数'!F3)</f>
        <v>80</v>
      </c>
      <c r="D2" s="22" t="str">
        <f>IF(INDEX(Veh_Marshal,0,3)="N/A","N/A",'输出-系统进路参数'!G3)</f>
        <v>80</v>
      </c>
      <c r="E2" s="22" t="str">
        <f>IF(INDEX(Veh_Marshal,0,3)="N/A","N/A",'输出-系统进路参数'!H3)</f>
        <v>0</v>
      </c>
      <c r="F2" s="22" t="str">
        <f>IF(INDEX(Veh_Marshal,0,3)="N/A","N/A",'输出-系统进路参数'!I3)</f>
        <v>100</v>
      </c>
      <c r="G2" s="22" t="str">
        <f>IF(INDEX(Veh_Marshal,0,3)="N/A","N/A",'输出-系统进路参数'!J3)</f>
        <v>0</v>
      </c>
      <c r="H2" s="22" t="str">
        <f>IF(INDEX(Veh_Marshal,0,3)="N/A","N/A",'输出-系统进路参数'!K3)</f>
        <v>N/A</v>
      </c>
      <c r="I2" s="22" t="str">
        <f>IF(INDEX(Veh_Marshal,0,3)="N/A","N/A",'输出-系统进路参数'!L3)</f>
        <v>N/A</v>
      </c>
      <c r="J2" s="22" t="str">
        <f>IF(INDEX(Veh_Marshal,0,3)="N/A","N/A",'输出-系统进路参数'!M3)</f>
        <v>N/A</v>
      </c>
      <c r="K2" s="22" t="str">
        <f>IF(INDEX(Veh_Marshal,0,3)="N/A","N/A",'输出-系统进路参数'!N3)</f>
        <v>N/A</v>
      </c>
      <c r="L2" s="22" t="str">
        <f>IF(INDEX(Veh_Marshal,0,3)="N/A","N/A",'输出-系统进路参数'!O3)</f>
        <v>N/A</v>
      </c>
      <c r="M2" s="22" t="str">
        <f>IF(INDEX(Veh_Marshal,0,3)="N/A","N/A",'输出-系统进路参数'!P3)</f>
        <v>0201G</v>
      </c>
      <c r="N2" s="22" t="str">
        <f>IF(INDEX(Veh_Marshal,0,3)="N/A","N/A",'输出-系统进路参数'!Q3)</f>
        <v>0</v>
      </c>
      <c r="O2" s="22" t="str">
        <f>IF(INDEX(Veh_Marshal,0,3)="N/A","N/A",'输出-系统进路参数'!R3)</f>
        <v>94.1</v>
      </c>
      <c r="P2" s="22" t="str">
        <f>IF(INDEX(Veh_Marshal,0,3)="N/A","N/A",'输出-系统进路参数'!S3)</f>
        <v>0</v>
      </c>
      <c r="Q2" s="22" t="str">
        <f>IF(INDEX(Veh_Marshal,0,3)="N/A","N/A",'输出-系统进路参数'!T3)</f>
        <v>0103G</v>
      </c>
      <c r="R2" s="22" t="str">
        <f>IF(INDEX(Veh_Marshal,0,3)="N/A","N/A",'输出-系统进路参数'!U3)</f>
        <v>FALSE</v>
      </c>
      <c r="S2" s="30" t="str">
        <f t="shared" ref="S2:S4" si="0">IF($A2="N/A","N/A",IF($F2="N/A",CEILING($C2/3.6*(CFG_T_EB_OUT+CFG_T_EB_SETUP)/1000+($C2/3.6)^2/(INDEX(Veh_Gebr,0,3)+$E2/1000*9.8)/2,0.001),$F2))</f>
        <v>100</v>
      </c>
      <c r="T2" s="51">
        <f t="shared" ref="T2:T4" si="1">IF($A2="N/A","N/A",
CEILING(
MAX(
IF($I2="N/A",0,
$C2/3.6*(Equ_AxleOccupyDelay+Conf_VibInTime_CBI+IF($R2="TRUE",CFG_T_CBI_ALIVE_TO_CBI,0)+IF($H2="Type_Beacon",Equ_BeaconWriteDelay,0))/1000+Equ_BeaconReadDiff+Proj_BeaconFixDiff+$J2),
$C2/3.6*(MAX(Equ_AxleOccupyDelay+Conf_VibInTime_CBI,CFG_T_CC_ALIVE_TO_ZC+CFG_T_ZC_ALIVE_TO_CBI)+CFG_T_CBI_ALIVE_TO_ZC+CFG_T_ZC_ALIVE_TO_CC)/1000
+$C2/3.6*IF($R2="TRUE",CFG_T_CBI_ALIVE_TO_CBI/1000,0)
+IF($F2="N/A",$S2,IF(VALUE($F2)&gt;VALUE($S2),$F2,$S2))
+Conf_SafeMarginDist+Proj_Sig2AxleDist+INDEX(Veh_Hook2Roller,0,3))
+CFG_ERR_MAX_LOC/2000,1))</f>
        <v>498</v>
      </c>
      <c r="U2" s="51">
        <f t="shared" ref="U2:U4" si="2">IF($A2="N/A","N/A",
CEILING(IF($H2="Type_Beacon",
IF($I2="N/A",$L2/(IF(VALUE(Proj_RmMaxForwSpd)&lt;VALUE(Conf_ReleaseSpd),Proj_RmMaxForwSpd,Conf_ReleaseSpd)/3.6-ATO速度_EB速度余量/3.6)*1000,
$J2/IF(Proj_MinDriverSpd="0",Proj_RmMaxForwSpd/3.6-ATO速度_EB速度余量/3.6,Proj_MinDriverSpd/3.6)*1000),
IF($H2="Type_Loop",Equ_LoopComDelay,0)),10000)/1000)</f>
        <v>0</v>
      </c>
      <c r="V2" s="52">
        <f t="shared" ref="V2:V4" si="3">IF($A2="N/A","N/A",
CEILING(IF($H2="N/A",纯联锁DMC时间_s,
MAX($U2,CFG_T_CBI_ALIVE_TO_ZC/1000+CFG_T_ZC_ALIVE_TO_CC/1000)+CFG_T_EB_OUT/1000+CFG_T_EB_SETUP/1000+$C2/3.6/(INDEX(Veh_Gebr,0,1)+$E2/1000*9.8)
+(Equ_AxleClearDelay+Conf_VibInTime_CBI)/1000),
10))</f>
        <v>180</v>
      </c>
      <c r="W2" s="52">
        <f t="shared" ref="W2:W4" si="4">IF($A2="N/A","N/A",
IF($H2="Type_Beacon",CEILING($L2/(IF(VALUE(Proj_RmMaxForwSpd)&lt;VALUE(Conf_ReleaseSpd),Proj_RmMaxForwSpd,Conf_ReleaseSpd)/3.6-ATO速度_EB速度余量/3.6),10),$U2))</f>
        <v>0</v>
      </c>
      <c r="X2" s="29">
        <f t="shared" ref="X2:X4" si="5">IF($A2="N/A","N/A",
IF($H2="Type_Beacon",
CEILING(($W2*1000+CFG_T_EB_OUT+CFG_T_EB_SETUP
+$C2/3.6/(INDEX(Veh_Gebr,0,3)+$E2/1000*9.8)*1000
+Equ_AxleClearDelay+Conf_VibInTime_CBI)/1000,
10),$V2))</f>
        <v>180</v>
      </c>
      <c r="Y2" s="30">
        <f t="shared" ref="Y2:Y4" si="6">IF($A2="N/A","N/A",
IF($M2="N/A","N/A",
IF($Q2="N/A","N/A",
CEILING(SQRT(2*($O2-INDEX(Veh_Length,0,3)+INDEX(Veh_Hook2Roller,0,3)-Proj_Sp2AxleDist)/(INDEX(Veh_NormDec,0,3)+$P2/1000*9.8))*1000*2,5000)/1000)))</f>
        <v>25</v>
      </c>
      <c r="Z2" s="30">
        <f t="shared" ref="Z2:Z4" si="7">IF($A2="N/A","N/A",
IF($M2="N/A","N/A",
IF($Q2="N/A","N/A",
CEILING(($Y2*1000+CFG_T_EB_OUT+CFG_T_EB_SETUP
+((SQRT((2*INDEX(Veh_Gebr,0,3)*(INDEX(Veh_MaxAcc,0,3)-$P2/1000*9.8)*CFG_T_EB_SETUP/1000)^2
       +4*(INDEX(Veh_Gebr,0,3)+INDEX(Veh_MaxAcc,0,3))*(INDEX(Veh_MaxAcc,0,3)-$P2/1000*9.8)*(INDEX(Veh_Gebr,0,3)*$P2/1000*9.8*(CFG_T_EB_SETUP/1000)^2
           +2*(INDEX(Veh_Gebr,0,3)+$P2/1000*9.8)*($O2-INDEX(Veh_Length,0,3)+INDEX(Veh_Hook2Roller,0,3))))
    -2*INDEX(Veh_Gebr,0,3)*(INDEX(Veh_MaxAcc,0,3)-$P2/1000*9.8)*CFG_T_EB_SETUP/1000)
  /2/(INDEX(Veh_MaxAcc,0,3)+INDEX(Veh_Gebr,0,3))-$P2/1000*9.8*CFG_T_EB_SETUP/1000)/(INDEX(Veh_Gebr,0,3)+$P2/1000*9.8)*1000
+Equ_AxleClearDelay+Conf_VibInTime_CBI)/1000,
10)
)))</f>
        <v>40</v>
      </c>
      <c r="AA2" s="30">
        <f t="shared" ref="AA2:AA4" si="8">IF($A2="N/A","N/A",
IF($Q2="N/A","N/A",
FLOOR((Proj_RmMaxForwSpd/3.6-ATO速度_EB速度余量/3.6)*1000/INDEX(Veh_NormDec,0,3)
+(Proj_RmMaxForwSpd/3.6-ATO速度_EB速度余量/3.6)*1000/INDEX(Veh_MaxAcc,0,3)
+($B2-(Proj_RmMaxForwSpd/3.6-ATO速度_EB速度余量/3.6)^2/(2*INDEX(Veh_NormDec,0,3))-(Proj_RmMaxForwSpd/3.6-ATO速度_EB速度余量/3.6)^2/(2*INDEX(Veh_MaxAcc,0,3)))/(Proj_RmMaxForwSpd/3.6-ATO速度_EB速度余量/3.6)*1000
+$N2*1000,5000)/1000))</f>
        <v>20</v>
      </c>
      <c r="AB2" s="30">
        <f t="shared" ref="AB2:AB4" si="9">IF($A2="N/A","N/A",
IF($Q2="N/A","N/A",
CEILING(($AA2*1000+CFG_T_EB_OUT+CFG_T_EB_SETUP
+$D2/3.6/(INDEX(Veh_Gebr,0,3)+$G2/1000*9.8)*1000
+Equ_AxleClearDelay+Conf_VibInTime_CBI)/1000,
10)
))</f>
        <v>50</v>
      </c>
      <c r="AC2" s="30">
        <f t="shared" ref="AC2:AC4" si="10">IF($A2="N/A","N/A",
CEILING(司机反应时间*1000
+INDEX(Veh_FsbTracCutDelay,0,3)+INDEX(Veh_FsbSetDelay,0,3)+INDEX(Veh_FsbCoastTime,0,3)
+Proj_RmMaxForwSpd/3.6/(INDEX(Veh_Fsbr,0,3)-Proj_MaxLineGrad*9.8/1000)*1000
+Equ_AxleClearDelay
+Conf_VibInTime_CBI,
10000)/1000)</f>
        <v>30</v>
      </c>
    </row>
    <row r="3" spans="1:29">
      <c r="A3" s="22" t="str">
        <f>IF(INDEX(Veh_Marshal,0,3)="N/A","N/A",'输出-系统进路参数'!B4)</f>
        <v>S0103.S0107</v>
      </c>
      <c r="B3" s="22" t="str">
        <f>IF(INDEX(Veh_Marshal,0,3)="N/A","N/A",'输出-系统进路参数'!E4)</f>
        <v>323.967</v>
      </c>
      <c r="C3" s="22" t="str">
        <f>IF(INDEX(Veh_Marshal,0,3)="N/A","N/A",'输出-系统进路参数'!F4)</f>
        <v>80</v>
      </c>
      <c r="D3" s="22" t="str">
        <f>IF(INDEX(Veh_Marshal,0,3)="N/A","N/A",'输出-系统进路参数'!G4)</f>
        <v>80</v>
      </c>
      <c r="E3" s="22" t="str">
        <f>IF(INDEX(Veh_Marshal,0,3)="N/A","N/A",'输出-系统进路参数'!H4)</f>
        <v>0</v>
      </c>
      <c r="F3" s="22" t="str">
        <f>IF(INDEX(Veh_Marshal,0,3)="N/A","N/A",'输出-系统进路参数'!I4)</f>
        <v>200</v>
      </c>
      <c r="G3" s="22" t="str">
        <f>IF(INDEX(Veh_Marshal,0,3)="N/A","N/A",'输出-系统进路参数'!J4)</f>
        <v>-53.8</v>
      </c>
      <c r="H3" s="22" t="str">
        <f>IF(INDEX(Veh_Marshal,0,3)="N/A","N/A",'输出-系统进路参数'!K4)</f>
        <v>Type_Beacon</v>
      </c>
      <c r="I3" s="22" t="str">
        <f>IF(INDEX(Veh_Marshal,0,3)="N/A","N/A",'输出-系统进路参数'!L4)</f>
        <v>B0101</v>
      </c>
      <c r="J3" s="22" t="str">
        <f>IF(INDEX(Veh_Marshal,0,3)="N/A","N/A",'输出-系统进路参数'!M4)</f>
        <v>700</v>
      </c>
      <c r="K3" s="22" t="str">
        <f>IF(INDEX(Veh_Marshal,0,3)="N/A","N/A",'输出-系统进路参数'!N4)</f>
        <v>VB0103</v>
      </c>
      <c r="L3" s="22" t="str">
        <f>IF(INDEX(Veh_Marshal,0,3)="N/A","N/A",'输出-系统进路参数'!O4)</f>
        <v>9</v>
      </c>
      <c r="M3" s="22" t="str">
        <f>IF(INDEX(Veh_Marshal,0,3)="N/A","N/A",'输出-系统进路参数'!P4)</f>
        <v>0207G</v>
      </c>
      <c r="N3" s="22" t="str">
        <f>IF(INDEX(Veh_Marshal,0,3)="N/A","N/A",'输出-系统进路参数'!Q4)</f>
        <v>0</v>
      </c>
      <c r="O3" s="22" t="str">
        <f>IF(INDEX(Veh_Marshal,0,3)="N/A","N/A",'输出-系统进路参数'!R4)</f>
        <v>61.967</v>
      </c>
      <c r="P3" s="22" t="str">
        <f>IF(INDEX(Veh_Marshal,0,3)="N/A","N/A",'输出-系统进路参数'!S4)</f>
        <v>0</v>
      </c>
      <c r="Q3" s="22" t="str">
        <f>IF(INDEX(Veh_Marshal,0,3)="N/A","N/A",'输出-系统进路参数'!T4)</f>
        <v>0109DG</v>
      </c>
      <c r="R3" s="22" t="str">
        <f>IF(INDEX(Veh_Marshal,0,3)="N/A","N/A",'输出-系统进路参数'!U4)</f>
        <v>FALSE</v>
      </c>
      <c r="S3" s="30" t="str">
        <f t="shared" si="0"/>
        <v>200</v>
      </c>
      <c r="T3" s="51">
        <f t="shared" si="1"/>
        <v>770</v>
      </c>
      <c r="U3" s="51">
        <f t="shared" si="2"/>
        <v>60</v>
      </c>
      <c r="V3" s="52">
        <f t="shared" si="3"/>
        <v>100</v>
      </c>
      <c r="W3" s="52">
        <f t="shared" si="4"/>
        <v>10</v>
      </c>
      <c r="X3" s="52">
        <f t="shared" si="5"/>
        <v>40</v>
      </c>
      <c r="Y3" s="30">
        <f t="shared" si="6"/>
        <v>10</v>
      </c>
      <c r="Z3" s="30">
        <f t="shared" si="7"/>
        <v>20</v>
      </c>
      <c r="AA3" s="30">
        <f t="shared" si="8"/>
        <v>65</v>
      </c>
      <c r="AB3" s="30">
        <f t="shared" si="9"/>
        <v>110</v>
      </c>
      <c r="AC3" s="30">
        <f t="shared" si="10"/>
        <v>30</v>
      </c>
    </row>
    <row r="4" spans="1:29">
      <c r="A4" s="22" t="str">
        <f>IF(INDEX(Veh_Marshal,0,3)="N/A","N/A",'输出-系统进路参数'!B5)</f>
        <v>X0105.Xr</v>
      </c>
      <c r="B4" s="22" t="str">
        <f>IF(INDEX(Veh_Marshal,0,3)="N/A","N/A",'输出-系统进路参数'!E5)</f>
        <v>356.1</v>
      </c>
      <c r="C4" s="22" t="str">
        <f>IF(INDEX(Veh_Marshal,0,3)="N/A","N/A",'输出-系统进路参数'!F5)</f>
        <v>80</v>
      </c>
      <c r="D4" s="22" t="str">
        <f>IF(INDEX(Veh_Marshal,0,3)="N/A","N/A",'输出-系统进路参数'!G5)</f>
        <v>80</v>
      </c>
      <c r="E4" s="22" t="str">
        <f>IF(INDEX(Veh_Marshal,0,3)="N/A","N/A",'输出-系统进路参数'!H5)</f>
        <v>0</v>
      </c>
      <c r="F4" s="22" t="str">
        <f>IF(INDEX(Veh_Marshal,0,3)="N/A","N/A",'输出-系统进路参数'!I5)</f>
        <v>300</v>
      </c>
      <c r="G4" s="22" t="str">
        <f>IF(INDEX(Veh_Marshal,0,3)="N/A","N/A",'输出-系统进路参数'!J5)</f>
        <v>-41</v>
      </c>
      <c r="H4" s="22" t="str">
        <f>IF(INDEX(Veh_Marshal,0,3)="N/A","N/A",'输出-系统进路参数'!K5)</f>
        <v>Type_Beacon</v>
      </c>
      <c r="I4" s="22" t="str">
        <f>IF(INDEX(Veh_Marshal,0,3)="N/A","N/A",'输出-系统进路参数'!L5)</f>
        <v>N/A</v>
      </c>
      <c r="J4" s="22" t="str">
        <f>IF(INDEX(Veh_Marshal,0,3)="N/A","N/A",'输出-系统进路参数'!M5)</f>
        <v>N/A</v>
      </c>
      <c r="K4" s="22" t="str">
        <f>IF(INDEX(Veh_Marshal,0,3)="N/A","N/A",'输出-系统进路参数'!N5)</f>
        <v>VB0105</v>
      </c>
      <c r="L4" s="22" t="str">
        <f>IF(INDEX(Veh_Marshal,0,3)="N/A","N/A",'输出-系统进路参数'!O5)</f>
        <v>9</v>
      </c>
      <c r="M4" s="22" t="str">
        <f>IF(INDEX(Veh_Marshal,0,3)="N/A","N/A",'输出-系统进路参数'!P5)</f>
        <v>0201G</v>
      </c>
      <c r="N4" s="22" t="str">
        <f>IF(INDEX(Veh_Marshal,0,3)="N/A","N/A",'输出-系统进路参数'!Q5)</f>
        <v>0</v>
      </c>
      <c r="O4" s="22" t="str">
        <f>IF(INDEX(Veh_Marshal,0,3)="N/A","N/A",'输出-系统进路参数'!R5)</f>
        <v>94.1</v>
      </c>
      <c r="P4" s="22" t="str">
        <f>IF(INDEX(Veh_Marshal,0,3)="N/A","N/A",'输出-系统进路参数'!S5)</f>
        <v>0</v>
      </c>
      <c r="Q4" s="22" t="str">
        <f>IF(INDEX(Veh_Marshal,0,3)="N/A","N/A",'输出-系统进路参数'!T5)</f>
        <v>N/A</v>
      </c>
      <c r="R4" s="22" t="str">
        <f>IF(INDEX(Veh_Marshal,0,3)="N/A","N/A",'输出-系统进路参数'!U5)</f>
        <v>FALSE</v>
      </c>
      <c r="S4" s="30" t="str">
        <f t="shared" si="0"/>
        <v>300</v>
      </c>
      <c r="T4" s="51">
        <f t="shared" si="1"/>
        <v>698</v>
      </c>
      <c r="U4" s="51">
        <f t="shared" si="2"/>
        <v>10</v>
      </c>
      <c r="V4" s="52">
        <f t="shared" si="3"/>
        <v>50</v>
      </c>
      <c r="W4" s="52">
        <f t="shared" si="4"/>
        <v>10</v>
      </c>
      <c r="X4" s="52">
        <f t="shared" si="5"/>
        <v>40</v>
      </c>
      <c r="Y4" s="30" t="str">
        <f t="shared" si="6"/>
        <v>N/A</v>
      </c>
      <c r="Z4" s="30" t="str">
        <f t="shared" si="7"/>
        <v>N/A</v>
      </c>
      <c r="AA4" s="30" t="str">
        <f t="shared" si="8"/>
        <v>N/A</v>
      </c>
      <c r="AB4" s="30" t="str">
        <f t="shared" si="9"/>
        <v>N/A</v>
      </c>
      <c r="AC4" s="30">
        <f t="shared" si="10"/>
        <v>30</v>
      </c>
    </row>
  </sheetData>
  <protectedRanges>
    <protectedRange sqref="A2:R4" name="区域1_1"/>
  </protectedRanges>
  <phoneticPr fontId="1" type="noConversion"/>
  <conditionalFormatting sqref="W2:AC4 S2:T4">
    <cfRule type="cellIs" dxfId="11" priority="4" operator="equal">
      <formula>"N/A"</formula>
    </cfRule>
  </conditionalFormatting>
  <conditionalFormatting sqref="S5:AC1048576 W2:AC4 S2:T4">
    <cfRule type="cellIs" dxfId="10" priority="3" operator="equal">
      <formula>"N/A"</formula>
    </cfRule>
  </conditionalFormatting>
  <conditionalFormatting sqref="U2:V4">
    <cfRule type="cellIs" dxfId="9" priority="2" operator="equal">
      <formula>"N/A"</formula>
    </cfRule>
  </conditionalFormatting>
  <conditionalFormatting sqref="U2:V4">
    <cfRule type="cellIs" dxfId="8" priority="1" operator="equal">
      <formula>"N/A"</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
  <sheetViews>
    <sheetView zoomScale="70" zoomScaleNormal="70" workbookViewId="0">
      <selection activeCell="A5" sqref="A5:XFD601"/>
    </sheetView>
  </sheetViews>
  <sheetFormatPr defaultRowHeight="14.4"/>
  <cols>
    <col min="3" max="3" width="13.77734375" bestFit="1" customWidth="1"/>
    <col min="5" max="5" width="19.33203125" bestFit="1" customWidth="1"/>
    <col min="6" max="6" width="10.6640625" bestFit="1" customWidth="1"/>
    <col min="8" max="8" width="11.88671875" bestFit="1" customWidth="1"/>
    <col min="19" max="19" width="10.109375" bestFit="1" customWidth="1"/>
    <col min="20" max="20" width="9" style="18"/>
  </cols>
  <sheetData>
    <row r="1" spans="1:29" ht="115.2">
      <c r="A1" s="21" t="s">
        <v>62</v>
      </c>
      <c r="B1" s="21" t="s">
        <v>502</v>
      </c>
      <c r="C1" s="21" t="s">
        <v>499</v>
      </c>
      <c r="D1" s="21" t="s">
        <v>190</v>
      </c>
      <c r="E1" s="21" t="s">
        <v>500</v>
      </c>
      <c r="F1" s="21" t="s">
        <v>501</v>
      </c>
      <c r="G1" s="21" t="s">
        <v>123</v>
      </c>
      <c r="H1" s="54" t="s">
        <v>188</v>
      </c>
      <c r="I1" s="21" t="s">
        <v>505</v>
      </c>
      <c r="J1" s="21" t="s">
        <v>495</v>
      </c>
      <c r="K1" s="55" t="s">
        <v>504</v>
      </c>
      <c r="L1" s="21" t="s">
        <v>236</v>
      </c>
      <c r="M1" s="21" t="s">
        <v>65</v>
      </c>
      <c r="N1" s="21" t="s">
        <v>506</v>
      </c>
      <c r="O1" s="21" t="s">
        <v>66</v>
      </c>
      <c r="P1" s="21" t="s">
        <v>235</v>
      </c>
      <c r="Q1" s="21" t="s">
        <v>67</v>
      </c>
      <c r="R1" s="21" t="s">
        <v>148</v>
      </c>
      <c r="S1" s="21" t="s">
        <v>503</v>
      </c>
      <c r="T1" s="21" t="s">
        <v>151</v>
      </c>
      <c r="U1" s="21" t="s">
        <v>182</v>
      </c>
      <c r="V1" s="21" t="s">
        <v>367</v>
      </c>
      <c r="W1" s="21" t="s">
        <v>187</v>
      </c>
      <c r="X1" s="21" t="s">
        <v>366</v>
      </c>
      <c r="Y1" s="21" t="s">
        <v>193</v>
      </c>
      <c r="Z1" s="21" t="s">
        <v>369</v>
      </c>
      <c r="AA1" s="21" t="s">
        <v>243</v>
      </c>
      <c r="AB1" s="21" t="s">
        <v>371</v>
      </c>
      <c r="AC1" s="21" t="s">
        <v>373</v>
      </c>
    </row>
    <row r="2" spans="1:29">
      <c r="A2" s="22" t="str">
        <f>IF(INDEX(Veh_Marshal,0,4)="N/A","N/A",'输出-系统进路参数'!B3)</f>
        <v>N/A</v>
      </c>
      <c r="B2" s="22" t="str">
        <f>IF(INDEX(Veh_Marshal,0,4)="N/A","N/A",'输出-系统进路参数'!E3)</f>
        <v>N/A</v>
      </c>
      <c r="C2" s="22" t="str">
        <f>IF(INDEX(Veh_Marshal,0,4)="N/A","N/A",'输出-系统进路参数'!F3)</f>
        <v>N/A</v>
      </c>
      <c r="D2" s="22" t="str">
        <f>IF(INDEX(Veh_Marshal,0,4)="N/A","N/A",'输出-系统进路参数'!G3)</f>
        <v>N/A</v>
      </c>
      <c r="E2" s="22" t="str">
        <f>IF(INDEX(Veh_Marshal,0,4)="N/A","N/A",'输出-系统进路参数'!H3)</f>
        <v>N/A</v>
      </c>
      <c r="F2" s="22" t="str">
        <f>IF(INDEX(Veh_Marshal,0,4)="N/A","N/A",'输出-系统进路参数'!I3)</f>
        <v>N/A</v>
      </c>
      <c r="G2" s="22" t="str">
        <f>IF(INDEX(Veh_Marshal,0,4)="N/A","N/A",'输出-系统进路参数'!J3)</f>
        <v>N/A</v>
      </c>
      <c r="H2" s="22" t="str">
        <f>IF(INDEX(Veh_Marshal,0,4)="N/A","N/A",'输出-系统进路参数'!K3)</f>
        <v>N/A</v>
      </c>
      <c r="I2" s="22" t="str">
        <f>IF(INDEX(Veh_Marshal,0,4)="N/A","N/A",'输出-系统进路参数'!L3)</f>
        <v>N/A</v>
      </c>
      <c r="J2" s="22" t="str">
        <f>IF(INDEX(Veh_Marshal,0,4)="N/A","N/A",'输出-系统进路参数'!M3)</f>
        <v>N/A</v>
      </c>
      <c r="K2" s="22" t="str">
        <f>IF(INDEX(Veh_Marshal,0,4)="N/A","N/A",'输出-系统进路参数'!N3)</f>
        <v>N/A</v>
      </c>
      <c r="L2" s="22" t="str">
        <f>IF(INDEX(Veh_Marshal,0,4)="N/A","N/A",'输出-系统进路参数'!O3)</f>
        <v>N/A</v>
      </c>
      <c r="M2" s="22" t="str">
        <f>IF(INDEX(Veh_Marshal,0,4)="N/A","N/A",'输出-系统进路参数'!P3)</f>
        <v>N/A</v>
      </c>
      <c r="N2" s="22" t="str">
        <f>IF(INDEX(Veh_Marshal,0,4)="N/A","N/A",'输出-系统进路参数'!Q3)</f>
        <v>N/A</v>
      </c>
      <c r="O2" s="22" t="str">
        <f>IF(INDEX(Veh_Marshal,0,4)="N/A","N/A",'输出-系统进路参数'!R3)</f>
        <v>N/A</v>
      </c>
      <c r="P2" s="22" t="str">
        <f>IF(INDEX(Veh_Marshal,0,4)="N/A","N/A",'输出-系统进路参数'!S3)</f>
        <v>N/A</v>
      </c>
      <c r="Q2" s="22" t="str">
        <f>IF(INDEX(Veh_Marshal,0,4)="N/A","N/A",'输出-系统进路参数'!T3)</f>
        <v>N/A</v>
      </c>
      <c r="R2" s="22" t="str">
        <f>IF(INDEX(Veh_Marshal,0,4)="N/A","N/A",'输出-系统进路参数'!U3)</f>
        <v>N/A</v>
      </c>
      <c r="S2" s="42" t="str">
        <f t="shared" ref="S2:S4" si="0">IF($A2="N/A","N/A",IF($F2="N/A",CEILING($C2/3.6*(CFG_T_EB_OUT+CFG_T_EB_SETUP)/1000+($C2/3.6)^2/(INDEX(Veh_Gebr,0,4)+$E2/1000*9.8)/2,0.001),$F2))</f>
        <v>N/A</v>
      </c>
      <c r="T2" s="51" t="str">
        <f t="shared" ref="T2:T4" si="1">IF($A2="N/A","N/A",
CEILING(
MAX(
IF($I2="N/A",0,
$C2/3.6*(Equ_AxleOccupyDelay+Conf_VibInTime_CBI+IF($R2="TRUE",CFG_T_CBI_ALIVE_TO_CBI,0)+IF($H2="Type_Beacon",Equ_BeaconWriteDelay,0))/1000+Equ_BeaconReadDiff+Proj_BeaconFixDiff+$J2),
$C2/3.6*(MAX(Equ_AxleOccupyDelay+Conf_VibInTime_CBI,CFG_T_CC_ALIVE_TO_ZC+CFG_T_ZC_ALIVE_TO_CBI)+CFG_T_CBI_ALIVE_TO_ZC+CFG_T_ZC_ALIVE_TO_CC)/1000
+$C2/3.6*IF($R2="TRUE",CFG_T_CBI_ALIVE_TO_CBI/1000,0)
+IF($F2="N/A",$S2,IF(VALUE($F2)&gt;VALUE($S2),$F2,$S2))
+Conf_SafeMarginDist+Proj_Sig2AxleDist+INDEX(Veh_Hook2Roller,0,4))
+CFG_ERR_MAX_LOC/2000,1))</f>
        <v>N/A</v>
      </c>
      <c r="U2" s="51" t="str">
        <f t="shared" ref="U2:U4" si="2">IF($A2="N/A","N/A",
CEILING(IF($H2="Type_Beacon",
IF($I2="N/A",$L2/(IF(VALUE(Proj_RmMaxForwSpd)&lt;VALUE(Conf_ReleaseSpd),Proj_RmMaxForwSpd,Conf_ReleaseSpd)/3.6-ATO速度_EB速度余量/3.6)*1000,
$J2/IF(Proj_MinDriverSpd="0",Proj_RmMaxForwSpd/3.6-ATO速度_EB速度余量/3.6,Proj_MinDriverSpd/3.6)*1000),
IF($H2="Type_Loop",Equ_LoopComDelay,0)),10000)/1000)</f>
        <v>N/A</v>
      </c>
      <c r="V2" s="52" t="str">
        <f t="shared" ref="V2:V4" si="3">IF($A2="N/A","N/A",
CEILING(IF($H2="N/A",纯联锁DMC时间_s,
MAX($U2,CFG_T_CBI_ALIVE_TO_ZC/1000+CFG_T_ZC_ALIVE_TO_CC/1000)+CFG_T_EB_OUT/1000+CFG_T_EB_SETUP/1000+$C2/3.6/(INDEX(Veh_Gebr,0,1)+$E2/1000*9.8)
+(Equ_AxleClearDelay+Conf_VibInTime_CBI)/1000),
10))</f>
        <v>N/A</v>
      </c>
      <c r="W2" s="52" t="str">
        <f t="shared" ref="W2:W4" si="4">IF($A2="N/A","N/A",
IF($H2="Type_Beacon",CEILING($L2/(IF(VALUE(Proj_RmMaxForwSpd)&lt;VALUE(Conf_ReleaseSpd),Proj_RmMaxForwSpd,Conf_ReleaseSpd)/3.6-ATO速度_EB速度余量/3.6),10),$U2))</f>
        <v>N/A</v>
      </c>
      <c r="X2" s="29" t="str">
        <f t="shared" ref="X2:X4" si="5">IF($A2="N/A","N/A",
IF($H2="Type_Beacon",
CEILING(($W2*1000+CFG_T_EB_OUT+CFG_T_EB_SETUP
+$C2/3.6/(INDEX(Veh_Gebr,0,4)+$E2/1000*9.8)*1000
+Equ_AxleClearDelay+Conf_VibInTime_CBI)/1000,
10),$V2))</f>
        <v>N/A</v>
      </c>
      <c r="Y2" s="30" t="str">
        <f t="shared" ref="Y2:Y4" si="6">IF($A2="N/A","N/A",
IF($M2="N/A","N/A",
IF($Q2="N/A","N/A",
CEILING(SQRT(2*($O2-INDEX(Veh_Length,0,4)+INDEX(Veh_Hook2Roller,0,4)-Proj_Sp2AxleDist)/(INDEX(Veh_NormDec,0,4)+$P2/1000*9.8))*1000*2,5000)/1000)))</f>
        <v>N/A</v>
      </c>
      <c r="Z2" s="30" t="str">
        <f t="shared" ref="Z2:Z4" si="7">IF($A2="N/A","N/A",
IF($M2="N/A","N/A",
IF($Q2="N/A","N/A",
CEILING(($Y2*1000+CFG_T_EB_OUT+CFG_T_EB_SETUP
+((SQRT((2*INDEX(Veh_Gebr,0,4)*(INDEX(Veh_MaxAcc,0,4)-$P2/1000*9.8)*CFG_T_EB_SETUP/1000)^2
       +4*(INDEX(Veh_Gebr,0,4)+INDEX(Veh_MaxAcc,0,4))*(INDEX(Veh_MaxAcc,0,4)-$P2/1000*9.8)*(INDEX(Veh_Gebr,0,4)*$P2/1000*9.8*(CFG_T_EB_SETUP/1000)^2
           +2*(INDEX(Veh_Gebr,0,4)+$P2/1000*9.8)*($O2-INDEX(Veh_Length,0,4)+INDEX(Veh_Hook2Roller,0,4))))
    -2*INDEX(Veh_Gebr,0,4)*(INDEX(Veh_MaxAcc,0,4)-$P2/1000*9.8)*CFG_T_EB_SETUP/1000)
  /2/(INDEX(Veh_MaxAcc,0,4)+INDEX(Veh_Gebr,0,4))-$P2/1000*9.8*CFG_T_EB_SETUP/1000)/(INDEX(Veh_Gebr,0,4)+$P2/1000*9.8)*1000
+Equ_AxleClearDelay+Conf_VibInTime_CBI)/1000,
10)
)))</f>
        <v>N/A</v>
      </c>
      <c r="AA2" s="30" t="str">
        <f t="shared" ref="AA2:AA4" si="8">IF($A2="N/A","N/A",
IF($Q2="N/A","N/A",
FLOOR((Proj_RmMaxForwSpd/3.6-ATO速度_EB速度余量/3.6)*1000/INDEX(Veh_NormDec,0,4)
+(Proj_RmMaxForwSpd/3.6-ATO速度_EB速度余量/3.6)*1000/INDEX(Veh_MaxAcc,0,4)
+($B2-(Proj_RmMaxForwSpd/3.6-ATO速度_EB速度余量/3.6)^2/(2*INDEX(Veh_NormDec,0,4))-(Proj_RmMaxForwSpd/3.6-ATO速度_EB速度余量/3.6)^2/(2*INDEX(Veh_MaxAcc,0,4)))/(Proj_RmMaxForwSpd/3.6-ATO速度_EB速度余量/3.6)*1000
+$N2*1000,5000)/1000))</f>
        <v>N/A</v>
      </c>
      <c r="AB2" s="30" t="str">
        <f t="shared" ref="AB2:AB4" si="9">IF($A2="N/A","N/A",
IF($Q2="N/A","N/A",
CEILING(($AA2*1000+CFG_T_EB_OUT+CFG_T_EB_SETUP
+$D2/3.6/(INDEX(Veh_Gebr,0,4)+$G2/1000*9.8)*1000
+Equ_AxleClearDelay+Conf_VibInTime_CBI)/1000,
10)
))</f>
        <v>N/A</v>
      </c>
      <c r="AC2" s="30" t="str">
        <f t="shared" ref="AC2:AC4" si="10">IF($A2="N/A","N/A",
CEILING(司机反应时间*1000
+INDEX(Veh_FsbTracCutDelay,0,4)+INDEX(Veh_FsbSetDelay,0,4)+INDEX(Veh_FsbCoastTime,0,4)
+Proj_RmMaxForwSpd/3.6/(INDEX(Veh_Fsbr,0,4)-Proj_MaxLineGrad*9.8/1000)*1000
+Equ_AxleClearDelay
+Conf_VibInTime_CBI,
10000)/1000)</f>
        <v>N/A</v>
      </c>
    </row>
    <row r="3" spans="1:29">
      <c r="A3" s="22" t="str">
        <f>IF(INDEX(Veh_Marshal,0,4)="N/A","N/A",'输出-系统进路参数'!B4)</f>
        <v>N/A</v>
      </c>
      <c r="B3" s="22" t="str">
        <f>IF(INDEX(Veh_Marshal,0,4)="N/A","N/A",'输出-系统进路参数'!E4)</f>
        <v>N/A</v>
      </c>
      <c r="C3" s="22" t="str">
        <f>IF(INDEX(Veh_Marshal,0,4)="N/A","N/A",'输出-系统进路参数'!F4)</f>
        <v>N/A</v>
      </c>
      <c r="D3" s="22" t="str">
        <f>IF(INDEX(Veh_Marshal,0,4)="N/A","N/A",'输出-系统进路参数'!G4)</f>
        <v>N/A</v>
      </c>
      <c r="E3" s="22" t="str">
        <f>IF(INDEX(Veh_Marshal,0,4)="N/A","N/A",'输出-系统进路参数'!H4)</f>
        <v>N/A</v>
      </c>
      <c r="F3" s="22" t="str">
        <f>IF(INDEX(Veh_Marshal,0,4)="N/A","N/A",'输出-系统进路参数'!I4)</f>
        <v>N/A</v>
      </c>
      <c r="G3" s="22" t="str">
        <f>IF(INDEX(Veh_Marshal,0,4)="N/A","N/A",'输出-系统进路参数'!J4)</f>
        <v>N/A</v>
      </c>
      <c r="H3" s="22" t="str">
        <f>IF(INDEX(Veh_Marshal,0,4)="N/A","N/A",'输出-系统进路参数'!K4)</f>
        <v>N/A</v>
      </c>
      <c r="I3" s="22" t="str">
        <f>IF(INDEX(Veh_Marshal,0,4)="N/A","N/A",'输出-系统进路参数'!L4)</f>
        <v>N/A</v>
      </c>
      <c r="J3" s="22" t="str">
        <f>IF(INDEX(Veh_Marshal,0,4)="N/A","N/A",'输出-系统进路参数'!M4)</f>
        <v>N/A</v>
      </c>
      <c r="K3" s="22" t="str">
        <f>IF(INDEX(Veh_Marshal,0,4)="N/A","N/A",'输出-系统进路参数'!N4)</f>
        <v>N/A</v>
      </c>
      <c r="L3" s="22" t="str">
        <f>IF(INDEX(Veh_Marshal,0,4)="N/A","N/A",'输出-系统进路参数'!O4)</f>
        <v>N/A</v>
      </c>
      <c r="M3" s="22" t="str">
        <f>IF(INDEX(Veh_Marshal,0,4)="N/A","N/A",'输出-系统进路参数'!P4)</f>
        <v>N/A</v>
      </c>
      <c r="N3" s="22" t="str">
        <f>IF(INDEX(Veh_Marshal,0,4)="N/A","N/A",'输出-系统进路参数'!Q4)</f>
        <v>N/A</v>
      </c>
      <c r="O3" s="22" t="str">
        <f>IF(INDEX(Veh_Marshal,0,4)="N/A","N/A",'输出-系统进路参数'!R4)</f>
        <v>N/A</v>
      </c>
      <c r="P3" s="22" t="str">
        <f>IF(INDEX(Veh_Marshal,0,4)="N/A","N/A",'输出-系统进路参数'!S4)</f>
        <v>N/A</v>
      </c>
      <c r="Q3" s="22" t="str">
        <f>IF(INDEX(Veh_Marshal,0,4)="N/A","N/A",'输出-系统进路参数'!T4)</f>
        <v>N/A</v>
      </c>
      <c r="R3" s="22" t="str">
        <f>IF(INDEX(Veh_Marshal,0,4)="N/A","N/A",'输出-系统进路参数'!U4)</f>
        <v>N/A</v>
      </c>
      <c r="S3" s="42" t="str">
        <f t="shared" si="0"/>
        <v>N/A</v>
      </c>
      <c r="T3" s="51" t="str">
        <f t="shared" si="1"/>
        <v>N/A</v>
      </c>
      <c r="U3" s="51" t="str">
        <f t="shared" si="2"/>
        <v>N/A</v>
      </c>
      <c r="V3" s="52" t="str">
        <f t="shared" si="3"/>
        <v>N/A</v>
      </c>
      <c r="W3" s="52" t="str">
        <f t="shared" si="4"/>
        <v>N/A</v>
      </c>
      <c r="X3" s="52" t="str">
        <f t="shared" si="5"/>
        <v>N/A</v>
      </c>
      <c r="Y3" s="30" t="str">
        <f t="shared" si="6"/>
        <v>N/A</v>
      </c>
      <c r="Z3" s="30" t="str">
        <f t="shared" si="7"/>
        <v>N/A</v>
      </c>
      <c r="AA3" s="30" t="str">
        <f t="shared" si="8"/>
        <v>N/A</v>
      </c>
      <c r="AB3" s="30" t="str">
        <f t="shared" si="9"/>
        <v>N/A</v>
      </c>
      <c r="AC3" s="30" t="str">
        <f t="shared" si="10"/>
        <v>N/A</v>
      </c>
    </row>
    <row r="4" spans="1:29">
      <c r="A4" s="22" t="str">
        <f>IF(INDEX(Veh_Marshal,0,4)="N/A","N/A",'输出-系统进路参数'!B5)</f>
        <v>N/A</v>
      </c>
      <c r="B4" s="22" t="str">
        <f>IF(INDEX(Veh_Marshal,0,4)="N/A","N/A",'输出-系统进路参数'!E5)</f>
        <v>N/A</v>
      </c>
      <c r="C4" s="22" t="str">
        <f>IF(INDEX(Veh_Marshal,0,4)="N/A","N/A",'输出-系统进路参数'!F5)</f>
        <v>N/A</v>
      </c>
      <c r="D4" s="22" t="str">
        <f>IF(INDEX(Veh_Marshal,0,4)="N/A","N/A",'输出-系统进路参数'!G5)</f>
        <v>N/A</v>
      </c>
      <c r="E4" s="22" t="str">
        <f>IF(INDEX(Veh_Marshal,0,4)="N/A","N/A",'输出-系统进路参数'!H5)</f>
        <v>N/A</v>
      </c>
      <c r="F4" s="22" t="str">
        <f>IF(INDEX(Veh_Marshal,0,4)="N/A","N/A",'输出-系统进路参数'!I5)</f>
        <v>N/A</v>
      </c>
      <c r="G4" s="22" t="str">
        <f>IF(INDEX(Veh_Marshal,0,4)="N/A","N/A",'输出-系统进路参数'!J5)</f>
        <v>N/A</v>
      </c>
      <c r="H4" s="22" t="str">
        <f>IF(INDEX(Veh_Marshal,0,4)="N/A","N/A",'输出-系统进路参数'!K5)</f>
        <v>N/A</v>
      </c>
      <c r="I4" s="22" t="str">
        <f>IF(INDEX(Veh_Marshal,0,4)="N/A","N/A",'输出-系统进路参数'!L5)</f>
        <v>N/A</v>
      </c>
      <c r="J4" s="22" t="str">
        <f>IF(INDEX(Veh_Marshal,0,4)="N/A","N/A",'输出-系统进路参数'!M5)</f>
        <v>N/A</v>
      </c>
      <c r="K4" s="22" t="str">
        <f>IF(INDEX(Veh_Marshal,0,4)="N/A","N/A",'输出-系统进路参数'!N5)</f>
        <v>N/A</v>
      </c>
      <c r="L4" s="22" t="str">
        <f>IF(INDEX(Veh_Marshal,0,4)="N/A","N/A",'输出-系统进路参数'!O5)</f>
        <v>N/A</v>
      </c>
      <c r="M4" s="22" t="str">
        <f>IF(INDEX(Veh_Marshal,0,4)="N/A","N/A",'输出-系统进路参数'!P5)</f>
        <v>N/A</v>
      </c>
      <c r="N4" s="22" t="str">
        <f>IF(INDEX(Veh_Marshal,0,4)="N/A","N/A",'输出-系统进路参数'!Q5)</f>
        <v>N/A</v>
      </c>
      <c r="O4" s="22" t="str">
        <f>IF(INDEX(Veh_Marshal,0,4)="N/A","N/A",'输出-系统进路参数'!R5)</f>
        <v>N/A</v>
      </c>
      <c r="P4" s="22" t="str">
        <f>IF(INDEX(Veh_Marshal,0,4)="N/A","N/A",'输出-系统进路参数'!S5)</f>
        <v>N/A</v>
      </c>
      <c r="Q4" s="22" t="str">
        <f>IF(INDEX(Veh_Marshal,0,4)="N/A","N/A",'输出-系统进路参数'!T5)</f>
        <v>N/A</v>
      </c>
      <c r="R4" s="22" t="str">
        <f>IF(INDEX(Veh_Marshal,0,4)="N/A","N/A",'输出-系统进路参数'!U5)</f>
        <v>N/A</v>
      </c>
      <c r="S4" s="42" t="str">
        <f t="shared" si="0"/>
        <v>N/A</v>
      </c>
      <c r="T4" s="51" t="str">
        <f t="shared" si="1"/>
        <v>N/A</v>
      </c>
      <c r="U4" s="51" t="str">
        <f t="shared" si="2"/>
        <v>N/A</v>
      </c>
      <c r="V4" s="52" t="str">
        <f t="shared" si="3"/>
        <v>N/A</v>
      </c>
      <c r="W4" s="52" t="str">
        <f t="shared" si="4"/>
        <v>N/A</v>
      </c>
      <c r="X4" s="52" t="str">
        <f t="shared" si="5"/>
        <v>N/A</v>
      </c>
      <c r="Y4" s="30" t="str">
        <f t="shared" si="6"/>
        <v>N/A</v>
      </c>
      <c r="Z4" s="30" t="str">
        <f t="shared" si="7"/>
        <v>N/A</v>
      </c>
      <c r="AA4" s="30" t="str">
        <f t="shared" si="8"/>
        <v>N/A</v>
      </c>
      <c r="AB4" s="30" t="str">
        <f t="shared" si="9"/>
        <v>N/A</v>
      </c>
      <c r="AC4" s="30" t="str">
        <f t="shared" si="10"/>
        <v>N/A</v>
      </c>
    </row>
  </sheetData>
  <protectedRanges>
    <protectedRange sqref="A2:R4" name="区域1_1"/>
  </protectedRanges>
  <phoneticPr fontId="1" type="noConversion"/>
  <conditionalFormatting sqref="W2:AC4 S2:T4">
    <cfRule type="cellIs" dxfId="7" priority="4" operator="equal">
      <formula>"N/A"</formula>
    </cfRule>
  </conditionalFormatting>
  <conditionalFormatting sqref="W2:AC4 S2:T4">
    <cfRule type="cellIs" dxfId="6" priority="3" operator="equal">
      <formula>"N/A"</formula>
    </cfRule>
  </conditionalFormatting>
  <conditionalFormatting sqref="U2:V4">
    <cfRule type="cellIs" dxfId="5" priority="2" operator="equal">
      <formula>"N/A"</formula>
    </cfRule>
  </conditionalFormatting>
  <conditionalFormatting sqref="U2:V4">
    <cfRule type="cellIs" dxfId="4" priority="1" operator="equal">
      <formula>"N/A"</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C4"/>
  <sheetViews>
    <sheetView zoomScale="70" zoomScaleNormal="70" workbookViewId="0">
      <selection activeCell="L7" sqref="L7"/>
    </sheetView>
  </sheetViews>
  <sheetFormatPr defaultRowHeight="14.4"/>
  <cols>
    <col min="1" max="1" width="11.6640625" bestFit="1" customWidth="1"/>
    <col min="3" max="3" width="12.21875" bestFit="1" customWidth="1"/>
    <col min="5" max="5" width="20" customWidth="1"/>
    <col min="8" max="8" width="12.6640625" bestFit="1" customWidth="1"/>
    <col min="19" max="19" width="12.21875" bestFit="1" customWidth="1"/>
    <col min="20" max="20" width="9" style="18"/>
    <col min="21" max="21" width="12.44140625" bestFit="1" customWidth="1"/>
    <col min="22" max="22" width="12.109375" bestFit="1" customWidth="1"/>
    <col min="23" max="23" width="13" bestFit="1" customWidth="1"/>
    <col min="24" max="24" width="12.109375" bestFit="1" customWidth="1"/>
    <col min="25" max="25" width="12.44140625" bestFit="1" customWidth="1"/>
    <col min="26" max="26" width="12.21875" bestFit="1" customWidth="1"/>
    <col min="27" max="28" width="12.44140625" bestFit="1" customWidth="1"/>
    <col min="29" max="29" width="12.44140625" style="46" bestFit="1" customWidth="1"/>
  </cols>
  <sheetData>
    <row r="1" spans="1:29" ht="90">
      <c r="A1" s="21" t="s">
        <v>62</v>
      </c>
      <c r="B1" s="21" t="s">
        <v>502</v>
      </c>
      <c r="C1" s="21" t="s">
        <v>499</v>
      </c>
      <c r="D1" s="21" t="s">
        <v>190</v>
      </c>
      <c r="E1" s="21" t="s">
        <v>500</v>
      </c>
      <c r="F1" s="21" t="s">
        <v>501</v>
      </c>
      <c r="G1" s="21" t="s">
        <v>123</v>
      </c>
      <c r="H1" s="54" t="s">
        <v>188</v>
      </c>
      <c r="I1" s="21" t="s">
        <v>505</v>
      </c>
      <c r="J1" s="21" t="s">
        <v>495</v>
      </c>
      <c r="K1" s="55" t="s">
        <v>504</v>
      </c>
      <c r="L1" s="21" t="s">
        <v>236</v>
      </c>
      <c r="M1" s="21" t="s">
        <v>65</v>
      </c>
      <c r="N1" s="21" t="s">
        <v>506</v>
      </c>
      <c r="O1" s="21" t="s">
        <v>66</v>
      </c>
      <c r="P1" s="21" t="s">
        <v>235</v>
      </c>
      <c r="Q1" s="21" t="s">
        <v>67</v>
      </c>
      <c r="R1" s="21" t="s">
        <v>148</v>
      </c>
      <c r="S1" s="21" t="s">
        <v>503</v>
      </c>
      <c r="T1" s="21" t="s">
        <v>151</v>
      </c>
      <c r="U1" s="21" t="s">
        <v>182</v>
      </c>
      <c r="V1" s="21" t="s">
        <v>367</v>
      </c>
      <c r="W1" s="21" t="s">
        <v>187</v>
      </c>
      <c r="X1" s="21" t="s">
        <v>366</v>
      </c>
      <c r="Y1" s="21" t="s">
        <v>193</v>
      </c>
      <c r="Z1" s="21" t="s">
        <v>369</v>
      </c>
      <c r="AA1" s="21" t="s">
        <v>243</v>
      </c>
      <c r="AB1" s="21" t="s">
        <v>371</v>
      </c>
      <c r="AC1" s="21" t="s">
        <v>373</v>
      </c>
    </row>
    <row r="2" spans="1:29">
      <c r="A2" s="22" t="str">
        <f>IF(INDEX(Veh_Marshal,0,5)="N/A","N/A",'输出-系统进路参数'!B3)</f>
        <v>N/A</v>
      </c>
      <c r="B2" s="22" t="str">
        <f>IF(INDEX(Veh_Marshal,0,5)="N/A","N/A",'输出-系统进路参数'!E3)</f>
        <v>N/A</v>
      </c>
      <c r="C2" s="22" t="str">
        <f>IF(INDEX(Veh_Marshal,0,5)="N/A","N/A",'输出-系统进路参数'!F3)</f>
        <v>N/A</v>
      </c>
      <c r="D2" s="22" t="str">
        <f>IF(INDEX(Veh_Marshal,0,5)="N/A","N/A",'输出-系统进路参数'!G3)</f>
        <v>N/A</v>
      </c>
      <c r="E2" s="22" t="str">
        <f>IF(INDEX(Veh_Marshal,0,5)="N/A","N/A",'输出-系统进路参数'!H3)</f>
        <v>N/A</v>
      </c>
      <c r="F2" s="22" t="str">
        <f>IF(INDEX(Veh_Marshal,0,5)="N/A","N/A",'输出-系统进路参数'!I3)</f>
        <v>N/A</v>
      </c>
      <c r="G2" s="22" t="str">
        <f>IF(INDEX(Veh_Marshal,0,5)="N/A","N/A",'输出-系统进路参数'!J3)</f>
        <v>N/A</v>
      </c>
      <c r="H2" s="22" t="str">
        <f>IF(INDEX(Veh_Marshal,0,5)="N/A","N/A",'输出-系统进路参数'!K3)</f>
        <v>N/A</v>
      </c>
      <c r="I2" s="22" t="str">
        <f>IF(INDEX(Veh_Marshal,0,5)="N/A","N/A",'输出-系统进路参数'!L3)</f>
        <v>N/A</v>
      </c>
      <c r="J2" s="22" t="str">
        <f>IF(INDEX(Veh_Marshal,0,5)="N/A","N/A",'输出-系统进路参数'!M3)</f>
        <v>N/A</v>
      </c>
      <c r="K2" s="22" t="str">
        <f>IF(INDEX(Veh_Marshal,0,5)="N/A","N/A",'输出-系统进路参数'!N3)</f>
        <v>N/A</v>
      </c>
      <c r="L2" s="22" t="str">
        <f>IF(INDEX(Veh_Marshal,0,5)="N/A","N/A",'输出-系统进路参数'!O3)</f>
        <v>N/A</v>
      </c>
      <c r="M2" s="22" t="str">
        <f>IF(INDEX(Veh_Marshal,0,5)="N/A","N/A",'输出-系统进路参数'!P3)</f>
        <v>N/A</v>
      </c>
      <c r="N2" s="22" t="str">
        <f>IF(INDEX(Veh_Marshal,0,5)="N/A","N/A",'输出-系统进路参数'!Q3)</f>
        <v>N/A</v>
      </c>
      <c r="O2" s="22" t="str">
        <f>IF(INDEX(Veh_Marshal,0,5)="N/A","N/A",'输出-系统进路参数'!R3)</f>
        <v>N/A</v>
      </c>
      <c r="P2" s="22" t="str">
        <f>IF(INDEX(Veh_Marshal,0,5)="N/A","N/A",'输出-系统进路参数'!S3)</f>
        <v>N/A</v>
      </c>
      <c r="Q2" s="22" t="str">
        <f>IF(INDEX(Veh_Marshal,0,5)="N/A","N/A",'输出-系统进路参数'!T3)</f>
        <v>N/A</v>
      </c>
      <c r="R2" s="22" t="str">
        <f>IF(INDEX(Veh_Marshal,0,5)="N/A","N/A",'输出-系统进路参数'!U3)</f>
        <v>N/A</v>
      </c>
      <c r="S2" s="42" t="str">
        <f t="shared" ref="S2:S4" si="0">IF($A2="N/A","N/A",IF($F2="N/A",CEILING($C2/3.6*(CFG_T_EB_OUT+CFG_T_EB_SETUP)/1000+($C2/3.6)^2/(INDEX(Veh_Gebr,0,5)+$E2/1000*9.8)/2,0.001),$F2))</f>
        <v>N/A</v>
      </c>
      <c r="T2" s="51" t="str">
        <f t="shared" ref="T2:T4" si="1">IF($A2="N/A","N/A",
CEILING(
MAX(
IF($I2="N/A",0,
$C2/3.6*(Equ_AxleOccupyDelay+Conf_VibInTime_CBI+IF($R2="TRUE",CFG_T_CBI_ALIVE_TO_CBI,0)+IF($H2="Type_Beacon",Equ_BeaconWriteDelay,0))/1000+Equ_BeaconReadDiff+Proj_BeaconFixDiff+$J2),
$C2/3.6*(MAX(Equ_AxleOccupyDelay+Conf_VibInTime_CBI,CFG_T_CC_ALIVE_TO_ZC+CFG_T_ZC_ALIVE_TO_CBI)+CFG_T_CBI_ALIVE_TO_ZC+CFG_T_ZC_ALIVE_TO_CC)/1000
+$C2/3.6*IF($R2="TRUE",CFG_T_CBI_ALIVE_TO_CBI/1000,0)
+IF($F2="N/A",$S2,IF(VALUE($F2)&gt;VALUE($S2),$F2,$S2))
+Conf_SafeMarginDist+Proj_Sig2AxleDist+INDEX(Veh_Hook2Roller,0,5))
+CFG_ERR_MAX_LOC/2000,1))</f>
        <v>N/A</v>
      </c>
      <c r="U2" s="51" t="str">
        <f t="shared" ref="U2:U4" si="2">IF($A2="N/A","N/A",
CEILING(IF($H2="Type_Beacon",
IF($I2="N/A",$L2/(IF(VALUE(Proj_RmMaxForwSpd)&lt;VALUE(Conf_ReleaseSpd),Proj_RmMaxForwSpd,Conf_ReleaseSpd)/3.6-ATO速度_EB速度余量/3.6)*1000,
$J2/IF(Proj_MinDriverSpd="0",Proj_RmMaxForwSpd/3.6-ATO速度_EB速度余量/3.6,Proj_MinDriverSpd/3.6)*1000),
IF($H2="Type_Loop",Equ_LoopComDelay,0)),10000)/1000)</f>
        <v>N/A</v>
      </c>
      <c r="V2" s="52" t="str">
        <f t="shared" ref="V2:V4" si="3">IF($A2="N/A","N/A",
CEILING(IF($H2="N/A",纯联锁DMC时间_s,
MAX($U2,CFG_T_CBI_ALIVE_TO_ZC/1000+CFG_T_ZC_ALIVE_TO_CC/1000)+CFG_T_EB_OUT/1000+CFG_T_EB_SETUP/1000+$C2/3.6/(INDEX(Veh_Gebr,0,1)+$E2/1000*9.8)
+(Equ_AxleClearDelay+Conf_VibInTime_CBI)/1000),
10))</f>
        <v>N/A</v>
      </c>
      <c r="W2" s="52" t="str">
        <f t="shared" ref="W2:W4" si="4">IF($A2="N/A","N/A",
IF($H2="Type_Beacon",CEILING($L2/(IF(VALUE(Proj_RmMaxForwSpd)&lt;VALUE(Conf_ReleaseSpd),Proj_RmMaxForwSpd,Conf_ReleaseSpd)/3.6-ATO速度_EB速度余量/3.6),10),$U2))</f>
        <v>N/A</v>
      </c>
      <c r="X2" s="29" t="str">
        <f t="shared" ref="X2:X4" si="5">IF($A2="N/A","N/A",
IF($H2="Type_Beacon",
CEILING(($W2*1000+CFG_T_EB_OUT+CFG_T_EB_SETUP
+$C2/3.6/(INDEX(Veh_Gebr,0,5)+$E2/1000*9.8)*1000
+Equ_AxleClearDelay+Conf_VibInTime_CBI)/1000,
10),$V2))</f>
        <v>N/A</v>
      </c>
      <c r="Y2" s="30" t="str">
        <f t="shared" ref="Y2:Y4" si="6">IF($A2="N/A","N/A",
IF($M2="N/A","N/A",
IF($Q2="N/A","N/A",
CEILING(SQRT(2*($O2-INDEX(Veh_Length,0,5)+INDEX(Veh_Hook2Roller,0,5)-Proj_Sp2AxleDist)/(INDEX(Veh_NormDec,0,5)+$P2/1000*9.8))*1000*2,5000)/1000)))</f>
        <v>N/A</v>
      </c>
      <c r="Z2" s="30" t="str">
        <f t="shared" ref="Z2:Z4" si="7">IF($A2="N/A","N/A",
IF($M2="N/A","N/A",
IF($Q2="N/A","N/A",
CEILING(($Y2*1000+CFG_T_EB_OUT+CFG_T_EB_SETUP
+((SQRT((2*INDEX(Veh_Gebr,0,5)*(INDEX(Veh_MaxAcc,0,5)-$P2/1000*9.8)*CFG_T_EB_SETUP/1000)^2
       +4*(INDEX(Veh_Gebr,0,5)+INDEX(Veh_MaxAcc,0,5))*(INDEX(Veh_MaxAcc,0,5)-$P2/1000*9.8)*(INDEX(Veh_Gebr,0,5)*$P2/1000*9.8*(CFG_T_EB_SETUP/1000)^2
           +2*(INDEX(Veh_Gebr,0,5)+$P2/1000*9.8)*($O2-INDEX(Veh_Length,0,5)+INDEX(Veh_Hook2Roller,0,5))))
    -2*INDEX(Veh_Gebr,0,5)*(INDEX(Veh_MaxAcc,0,5)-$P2/1000*9.8)*CFG_T_EB_SETUP/1000)
  /2/(INDEX(Veh_MaxAcc,0,5)+INDEX(Veh_Gebr,0,5))-$P2/1000*9.8*CFG_T_EB_SETUP/1000)/(INDEX(Veh_Gebr,0,5)+$P2/1000*9.8)*1000
+Equ_AxleClearDelay+Conf_VibInTime_CBI)/1000,
10)
)))</f>
        <v>N/A</v>
      </c>
      <c r="AA2" s="30" t="str">
        <f t="shared" ref="AA2:AA4" si="8">IF($A2="N/A","N/A",
IF($Q2="N/A","N/A",
FLOOR((Proj_RmMaxForwSpd/3.6-ATO速度_EB速度余量/3.6)*1000/INDEX(Veh_NormDec,0,5)
+(Proj_RmMaxForwSpd/3.6-ATO速度_EB速度余量/3.6)*1000/INDEX(Veh_MaxAcc,0,5)
+($B2-(Proj_RmMaxForwSpd/3.6-ATO速度_EB速度余量/3.6)^2/(2*INDEX(Veh_NormDec,0,5))-(Proj_RmMaxForwSpd/3.6-ATO速度_EB速度余量/3.6)^2/(2*INDEX(Veh_MaxAcc,0,5)))/(Proj_RmMaxForwSpd/3.6-ATO速度_EB速度余量/3.6)*1000
+$N2*1000,5000)/1000))</f>
        <v>N/A</v>
      </c>
      <c r="AB2" s="30" t="str">
        <f t="shared" ref="AB2:AB4" si="9">IF($A2="N/A","N/A",
IF($Q2="N/A","N/A",
CEILING(($AA2*1000+CFG_T_EB_OUT+CFG_T_EB_SETUP
+$D2/3.6/(INDEX(Veh_Gebr,0,5)+$G2/1000*9.8)*1000
+Equ_AxleClearDelay+Conf_VibInTime_CBI)/1000,
10)
))</f>
        <v>N/A</v>
      </c>
      <c r="AC2" s="30" t="str">
        <f t="shared" ref="AC2:AC4" si="10">IF($A2="N/A","N/A",
CEILING(司机反应时间*1000
+INDEX(Veh_FsbTracCutDelay,0,5)+INDEX(Veh_FsbSetDelay,0,5)+INDEX(Veh_FsbCoastTime,0,5)
+Proj_RmMaxForwSpd/3.6/(INDEX(Veh_Fsbr,0,5)-Proj_MaxLineGrad*9.8/1000)*1000
+Equ_AxleClearDelay
+Conf_VibInTime_CBI,
10000)/1000)</f>
        <v>N/A</v>
      </c>
    </row>
    <row r="3" spans="1:29">
      <c r="A3" s="22" t="str">
        <f>IF(INDEX(Veh_Marshal,0,5)="N/A","N/A",'输出-系统进路参数'!B4)</f>
        <v>N/A</v>
      </c>
      <c r="B3" s="22" t="str">
        <f>IF(INDEX(Veh_Marshal,0,5)="N/A","N/A",'输出-系统进路参数'!E4)</f>
        <v>N/A</v>
      </c>
      <c r="C3" s="22" t="str">
        <f>IF(INDEX(Veh_Marshal,0,5)="N/A","N/A",'输出-系统进路参数'!F4)</f>
        <v>N/A</v>
      </c>
      <c r="D3" s="22" t="str">
        <f>IF(INDEX(Veh_Marshal,0,5)="N/A","N/A",'输出-系统进路参数'!G4)</f>
        <v>N/A</v>
      </c>
      <c r="E3" s="22" t="str">
        <f>IF(INDEX(Veh_Marshal,0,5)="N/A","N/A",'输出-系统进路参数'!H4)</f>
        <v>N/A</v>
      </c>
      <c r="F3" s="22" t="str">
        <f>IF(INDEX(Veh_Marshal,0,5)="N/A","N/A",'输出-系统进路参数'!I4)</f>
        <v>N/A</v>
      </c>
      <c r="G3" s="22" t="str">
        <f>IF(INDEX(Veh_Marshal,0,5)="N/A","N/A",'输出-系统进路参数'!J4)</f>
        <v>N/A</v>
      </c>
      <c r="H3" s="22" t="str">
        <f>IF(INDEX(Veh_Marshal,0,5)="N/A","N/A",'输出-系统进路参数'!K4)</f>
        <v>N/A</v>
      </c>
      <c r="I3" s="22" t="str">
        <f>IF(INDEX(Veh_Marshal,0,5)="N/A","N/A",'输出-系统进路参数'!L4)</f>
        <v>N/A</v>
      </c>
      <c r="J3" s="22" t="str">
        <f>IF(INDEX(Veh_Marshal,0,5)="N/A","N/A",'输出-系统进路参数'!M4)</f>
        <v>N/A</v>
      </c>
      <c r="K3" s="22" t="str">
        <f>IF(INDEX(Veh_Marshal,0,5)="N/A","N/A",'输出-系统进路参数'!N4)</f>
        <v>N/A</v>
      </c>
      <c r="L3" s="22" t="str">
        <f>IF(INDEX(Veh_Marshal,0,5)="N/A","N/A",'输出-系统进路参数'!O4)</f>
        <v>N/A</v>
      </c>
      <c r="M3" s="22" t="str">
        <f>IF(INDEX(Veh_Marshal,0,5)="N/A","N/A",'输出-系统进路参数'!P4)</f>
        <v>N/A</v>
      </c>
      <c r="N3" s="22" t="str">
        <f>IF(INDEX(Veh_Marshal,0,5)="N/A","N/A",'输出-系统进路参数'!Q4)</f>
        <v>N/A</v>
      </c>
      <c r="O3" s="22" t="str">
        <f>IF(INDEX(Veh_Marshal,0,5)="N/A","N/A",'输出-系统进路参数'!R4)</f>
        <v>N/A</v>
      </c>
      <c r="P3" s="22" t="str">
        <f>IF(INDEX(Veh_Marshal,0,5)="N/A","N/A",'输出-系统进路参数'!S4)</f>
        <v>N/A</v>
      </c>
      <c r="Q3" s="22" t="str">
        <f>IF(INDEX(Veh_Marshal,0,5)="N/A","N/A",'输出-系统进路参数'!T4)</f>
        <v>N/A</v>
      </c>
      <c r="R3" s="22" t="str">
        <f>IF(INDEX(Veh_Marshal,0,5)="N/A","N/A",'输出-系统进路参数'!U4)</f>
        <v>N/A</v>
      </c>
      <c r="S3" s="42" t="str">
        <f t="shared" si="0"/>
        <v>N/A</v>
      </c>
      <c r="T3" s="51" t="str">
        <f t="shared" si="1"/>
        <v>N/A</v>
      </c>
      <c r="U3" s="51" t="str">
        <f t="shared" si="2"/>
        <v>N/A</v>
      </c>
      <c r="V3" s="52" t="str">
        <f t="shared" si="3"/>
        <v>N/A</v>
      </c>
      <c r="W3" s="52" t="str">
        <f t="shared" si="4"/>
        <v>N/A</v>
      </c>
      <c r="X3" s="52" t="str">
        <f t="shared" si="5"/>
        <v>N/A</v>
      </c>
      <c r="Y3" s="30" t="str">
        <f t="shared" si="6"/>
        <v>N/A</v>
      </c>
      <c r="Z3" s="30" t="str">
        <f t="shared" si="7"/>
        <v>N/A</v>
      </c>
      <c r="AA3" s="30" t="str">
        <f t="shared" si="8"/>
        <v>N/A</v>
      </c>
      <c r="AB3" s="30" t="str">
        <f t="shared" si="9"/>
        <v>N/A</v>
      </c>
      <c r="AC3" s="30" t="str">
        <f t="shared" si="10"/>
        <v>N/A</v>
      </c>
    </row>
    <row r="4" spans="1:29">
      <c r="A4" s="22" t="str">
        <f>IF(INDEX(Veh_Marshal,0,5)="N/A","N/A",'输出-系统进路参数'!B5)</f>
        <v>N/A</v>
      </c>
      <c r="B4" s="22" t="str">
        <f>IF(INDEX(Veh_Marshal,0,5)="N/A","N/A",'输出-系统进路参数'!E5)</f>
        <v>N/A</v>
      </c>
      <c r="C4" s="22" t="str">
        <f>IF(INDEX(Veh_Marshal,0,5)="N/A","N/A",'输出-系统进路参数'!F5)</f>
        <v>N/A</v>
      </c>
      <c r="D4" s="22" t="str">
        <f>IF(INDEX(Veh_Marshal,0,5)="N/A","N/A",'输出-系统进路参数'!G5)</f>
        <v>N/A</v>
      </c>
      <c r="E4" s="22" t="str">
        <f>IF(INDEX(Veh_Marshal,0,5)="N/A","N/A",'输出-系统进路参数'!H5)</f>
        <v>N/A</v>
      </c>
      <c r="F4" s="22" t="str">
        <f>IF(INDEX(Veh_Marshal,0,5)="N/A","N/A",'输出-系统进路参数'!I5)</f>
        <v>N/A</v>
      </c>
      <c r="G4" s="22" t="str">
        <f>IF(INDEX(Veh_Marshal,0,5)="N/A","N/A",'输出-系统进路参数'!J5)</f>
        <v>N/A</v>
      </c>
      <c r="H4" s="22" t="str">
        <f>IF(INDEX(Veh_Marshal,0,5)="N/A","N/A",'输出-系统进路参数'!K5)</f>
        <v>N/A</v>
      </c>
      <c r="I4" s="22" t="str">
        <f>IF(INDEX(Veh_Marshal,0,5)="N/A","N/A",'输出-系统进路参数'!L5)</f>
        <v>N/A</v>
      </c>
      <c r="J4" s="22" t="str">
        <f>IF(INDEX(Veh_Marshal,0,5)="N/A","N/A",'输出-系统进路参数'!M5)</f>
        <v>N/A</v>
      </c>
      <c r="K4" s="22" t="str">
        <f>IF(INDEX(Veh_Marshal,0,5)="N/A","N/A",'输出-系统进路参数'!N5)</f>
        <v>N/A</v>
      </c>
      <c r="L4" s="22" t="str">
        <f>IF(INDEX(Veh_Marshal,0,5)="N/A","N/A",'输出-系统进路参数'!O5)</f>
        <v>N/A</v>
      </c>
      <c r="M4" s="22" t="str">
        <f>IF(INDEX(Veh_Marshal,0,5)="N/A","N/A",'输出-系统进路参数'!P5)</f>
        <v>N/A</v>
      </c>
      <c r="N4" s="22" t="str">
        <f>IF(INDEX(Veh_Marshal,0,5)="N/A","N/A",'输出-系统进路参数'!Q5)</f>
        <v>N/A</v>
      </c>
      <c r="O4" s="22" t="str">
        <f>IF(INDEX(Veh_Marshal,0,5)="N/A","N/A",'输出-系统进路参数'!R5)</f>
        <v>N/A</v>
      </c>
      <c r="P4" s="22" t="str">
        <f>IF(INDEX(Veh_Marshal,0,5)="N/A","N/A",'输出-系统进路参数'!S5)</f>
        <v>N/A</v>
      </c>
      <c r="Q4" s="22" t="str">
        <f>IF(INDEX(Veh_Marshal,0,5)="N/A","N/A",'输出-系统进路参数'!T5)</f>
        <v>N/A</v>
      </c>
      <c r="R4" s="22" t="str">
        <f>IF(INDEX(Veh_Marshal,0,5)="N/A","N/A",'输出-系统进路参数'!U5)</f>
        <v>N/A</v>
      </c>
      <c r="S4" s="42" t="str">
        <f t="shared" si="0"/>
        <v>N/A</v>
      </c>
      <c r="T4" s="51" t="str">
        <f t="shared" si="1"/>
        <v>N/A</v>
      </c>
      <c r="U4" s="51" t="str">
        <f t="shared" si="2"/>
        <v>N/A</v>
      </c>
      <c r="V4" s="52" t="str">
        <f t="shared" si="3"/>
        <v>N/A</v>
      </c>
      <c r="W4" s="52" t="str">
        <f t="shared" si="4"/>
        <v>N/A</v>
      </c>
      <c r="X4" s="52" t="str">
        <f t="shared" si="5"/>
        <v>N/A</v>
      </c>
      <c r="Y4" s="30" t="str">
        <f t="shared" si="6"/>
        <v>N/A</v>
      </c>
      <c r="Z4" s="30" t="str">
        <f t="shared" si="7"/>
        <v>N/A</v>
      </c>
      <c r="AA4" s="30" t="str">
        <f t="shared" si="8"/>
        <v>N/A</v>
      </c>
      <c r="AB4" s="30" t="str">
        <f t="shared" si="9"/>
        <v>N/A</v>
      </c>
      <c r="AC4" s="30" t="str">
        <f t="shared" si="10"/>
        <v>N/A</v>
      </c>
    </row>
  </sheetData>
  <protectedRanges>
    <protectedRange sqref="A2:R4" name="区域1_1_1"/>
  </protectedRanges>
  <phoneticPr fontId="1" type="noConversion"/>
  <conditionalFormatting sqref="W2:AC4 S2:T4">
    <cfRule type="cellIs" dxfId="3" priority="4" operator="equal">
      <formula>"N/A"</formula>
    </cfRule>
  </conditionalFormatting>
  <conditionalFormatting sqref="W2:AC4 S2:T4">
    <cfRule type="cellIs" dxfId="2" priority="3" operator="equal">
      <formula>"N/A"</formula>
    </cfRule>
  </conditionalFormatting>
  <conditionalFormatting sqref="U2:V4">
    <cfRule type="cellIs" dxfId="1" priority="2" operator="equal">
      <formula>"N/A"</formula>
    </cfRule>
  </conditionalFormatting>
  <conditionalFormatting sqref="U2:V4">
    <cfRule type="cellIs" dxfId="0" priority="1" operator="equal">
      <formula>"N/A"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Normal="100" workbookViewId="0">
      <selection activeCell="C16" sqref="C16"/>
    </sheetView>
  </sheetViews>
  <sheetFormatPr defaultColWidth="9" defaultRowHeight="12"/>
  <cols>
    <col min="1" max="1" width="7.77734375" style="14" bestFit="1" customWidth="1"/>
    <col min="2" max="2" width="10.44140625" style="14" bestFit="1" customWidth="1"/>
    <col min="3" max="3" width="58.44140625" style="14" customWidth="1"/>
    <col min="4" max="4" width="55.44140625" style="14" bestFit="1" customWidth="1"/>
    <col min="5" max="5" width="7.44140625" style="14" bestFit="1" customWidth="1"/>
    <col min="6" max="6" width="10.44140625" style="14" bestFit="1" customWidth="1"/>
    <col min="7" max="16384" width="9" style="14"/>
  </cols>
  <sheetData>
    <row r="1" spans="1:9">
      <c r="A1" s="111" t="s">
        <v>541</v>
      </c>
      <c r="B1" s="111"/>
      <c r="C1" s="111"/>
      <c r="D1" s="111"/>
      <c r="E1" s="111"/>
      <c r="F1" s="111"/>
      <c r="G1" s="111"/>
      <c r="H1" s="111"/>
      <c r="I1" s="111"/>
    </row>
    <row r="2" spans="1:9">
      <c r="A2" s="111"/>
      <c r="B2" s="111"/>
      <c r="C2" s="111"/>
      <c r="D2" s="111"/>
      <c r="E2" s="111"/>
      <c r="F2" s="111"/>
      <c r="G2" s="111"/>
      <c r="H2" s="111"/>
      <c r="I2" s="111"/>
    </row>
    <row r="3" spans="1:9" ht="12.6" thickBot="1">
      <c r="A3" s="57"/>
      <c r="B3" s="107"/>
      <c r="C3" s="107"/>
      <c r="D3" s="107"/>
      <c r="E3" s="107"/>
      <c r="F3" s="107"/>
      <c r="G3" s="107"/>
      <c r="H3" s="107"/>
      <c r="I3" s="107"/>
    </row>
    <row r="4" spans="1:9" ht="13.2">
      <c r="A4" s="59"/>
      <c r="B4" s="60"/>
      <c r="C4" s="61" t="s">
        <v>435</v>
      </c>
      <c r="D4" s="131" t="s">
        <v>451</v>
      </c>
      <c r="E4" s="132"/>
      <c r="F4" s="132"/>
      <c r="G4" s="133"/>
      <c r="H4" s="62"/>
      <c r="I4" s="62"/>
    </row>
    <row r="5" spans="1:9" ht="13.2">
      <c r="A5" s="112" t="s">
        <v>436</v>
      </c>
      <c r="B5" s="134"/>
      <c r="C5" s="63" t="s">
        <v>437</v>
      </c>
      <c r="D5" s="122" t="s">
        <v>542</v>
      </c>
      <c r="E5" s="123"/>
      <c r="F5" s="123"/>
      <c r="G5" s="124"/>
      <c r="H5" s="64"/>
      <c r="I5" s="64"/>
    </row>
    <row r="6" spans="1:9" ht="13.2">
      <c r="A6" s="109" t="s">
        <v>450</v>
      </c>
      <c r="B6" s="121"/>
      <c r="C6" s="63" t="s">
        <v>438</v>
      </c>
      <c r="D6" s="122" t="s">
        <v>554</v>
      </c>
      <c r="E6" s="123"/>
      <c r="F6" s="123"/>
      <c r="G6" s="124"/>
      <c r="H6" s="62"/>
      <c r="I6" s="62"/>
    </row>
    <row r="7" spans="1:9" ht="13.2">
      <c r="A7" s="109" t="s">
        <v>439</v>
      </c>
      <c r="B7" s="121"/>
      <c r="C7" s="63" t="s">
        <v>440</v>
      </c>
      <c r="D7" s="122" t="s">
        <v>686</v>
      </c>
      <c r="E7" s="123"/>
      <c r="F7" s="123"/>
      <c r="G7" s="124"/>
      <c r="H7" s="62"/>
      <c r="I7" s="62"/>
    </row>
    <row r="8" spans="1:9" ht="13.2">
      <c r="A8" s="109" t="s">
        <v>458</v>
      </c>
      <c r="B8" s="121"/>
      <c r="C8" s="63" t="s">
        <v>441</v>
      </c>
      <c r="D8" s="125">
        <v>43245</v>
      </c>
      <c r="E8" s="126"/>
      <c r="F8" s="126"/>
      <c r="G8" s="127"/>
      <c r="H8" s="62"/>
      <c r="I8" s="62"/>
    </row>
    <row r="9" spans="1:9" ht="13.8" thickBot="1">
      <c r="A9" s="65"/>
      <c r="B9" s="66"/>
      <c r="C9" s="67" t="s">
        <v>442</v>
      </c>
      <c r="D9" s="128" t="s">
        <v>443</v>
      </c>
      <c r="E9" s="129"/>
      <c r="F9" s="129"/>
      <c r="G9" s="130"/>
      <c r="H9" s="62"/>
      <c r="I9" s="62"/>
    </row>
    <row r="10" spans="1:9" ht="13.2">
      <c r="A10" s="68"/>
      <c r="B10" s="62"/>
      <c r="C10" s="62"/>
      <c r="D10" s="62"/>
      <c r="E10" s="62"/>
      <c r="F10" s="62"/>
      <c r="G10" s="62"/>
      <c r="H10" s="62"/>
      <c r="I10" s="62"/>
    </row>
    <row r="12" spans="1:9" ht="13.2">
      <c r="A12" s="69" t="s">
        <v>444</v>
      </c>
      <c r="B12" s="69" t="s">
        <v>445</v>
      </c>
      <c r="C12" s="69" t="s">
        <v>446</v>
      </c>
      <c r="D12" s="70" t="s">
        <v>510</v>
      </c>
      <c r="E12" s="70" t="s">
        <v>511</v>
      </c>
      <c r="F12" s="70" t="s">
        <v>447</v>
      </c>
      <c r="G12" s="70" t="s">
        <v>448</v>
      </c>
      <c r="H12" s="70" t="s">
        <v>449</v>
      </c>
      <c r="I12" s="47"/>
    </row>
    <row r="13" spans="1:9" ht="13.2">
      <c r="A13" s="2" t="s">
        <v>99</v>
      </c>
      <c r="B13" s="71" t="s">
        <v>452</v>
      </c>
      <c r="C13" s="72" t="s">
        <v>102</v>
      </c>
      <c r="D13" s="2" t="s">
        <v>512</v>
      </c>
      <c r="E13" s="2" t="s">
        <v>84</v>
      </c>
      <c r="F13" s="2" t="s">
        <v>456</v>
      </c>
      <c r="G13" s="72" t="s">
        <v>454</v>
      </c>
      <c r="H13" s="72" t="s">
        <v>455</v>
      </c>
      <c r="I13" s="47"/>
    </row>
    <row r="14" spans="1:9" ht="13.2">
      <c r="A14" s="2" t="s">
        <v>100</v>
      </c>
      <c r="B14" s="71" t="s">
        <v>452</v>
      </c>
      <c r="C14" s="73" t="s">
        <v>103</v>
      </c>
      <c r="D14" s="2" t="s">
        <v>512</v>
      </c>
      <c r="E14" s="2" t="s">
        <v>101</v>
      </c>
      <c r="F14" s="74">
        <v>42613</v>
      </c>
      <c r="G14" s="72" t="s">
        <v>454</v>
      </c>
      <c r="H14" s="72" t="s">
        <v>455</v>
      </c>
      <c r="I14" s="47"/>
    </row>
    <row r="15" spans="1:9" ht="13.2">
      <c r="A15" s="2" t="s">
        <v>106</v>
      </c>
      <c r="B15" s="71" t="s">
        <v>452</v>
      </c>
      <c r="C15" s="73" t="s">
        <v>107</v>
      </c>
      <c r="D15" s="2" t="s">
        <v>512</v>
      </c>
      <c r="E15" s="2" t="s">
        <v>108</v>
      </c>
      <c r="F15" s="74">
        <v>42621</v>
      </c>
      <c r="G15" s="72" t="s">
        <v>454</v>
      </c>
      <c r="H15" s="72" t="s">
        <v>455</v>
      </c>
      <c r="I15" s="47"/>
    </row>
    <row r="16" spans="1:9" ht="13.2">
      <c r="A16" s="2" t="s">
        <v>170</v>
      </c>
      <c r="B16" s="71" t="s">
        <v>452</v>
      </c>
      <c r="C16" s="73" t="s">
        <v>109</v>
      </c>
      <c r="D16" s="2" t="s">
        <v>512</v>
      </c>
      <c r="E16" s="2" t="s">
        <v>110</v>
      </c>
      <c r="F16" s="74">
        <v>42678</v>
      </c>
      <c r="G16" s="72" t="s">
        <v>454</v>
      </c>
      <c r="H16" s="72" t="s">
        <v>455</v>
      </c>
    </row>
    <row r="17" spans="1:8" ht="13.2">
      <c r="A17" s="75" t="s">
        <v>171</v>
      </c>
      <c r="B17" s="71" t="s">
        <v>452</v>
      </c>
      <c r="C17" s="76" t="s">
        <v>173</v>
      </c>
      <c r="D17" s="2" t="s">
        <v>512</v>
      </c>
      <c r="E17" s="2" t="s">
        <v>172</v>
      </c>
      <c r="F17" s="74">
        <v>42710</v>
      </c>
      <c r="G17" s="72" t="s">
        <v>454</v>
      </c>
      <c r="H17" s="72" t="s">
        <v>455</v>
      </c>
    </row>
    <row r="18" spans="1:8" ht="64.8">
      <c r="A18" s="2" t="s">
        <v>149</v>
      </c>
      <c r="B18" s="71" t="s">
        <v>452</v>
      </c>
      <c r="C18" s="76" t="s">
        <v>513</v>
      </c>
      <c r="D18" s="2" t="s">
        <v>514</v>
      </c>
      <c r="E18" s="2" t="s">
        <v>149</v>
      </c>
      <c r="F18" s="74">
        <v>42704</v>
      </c>
      <c r="G18" s="72" t="s">
        <v>454</v>
      </c>
      <c r="H18" s="72" t="s">
        <v>455</v>
      </c>
    </row>
    <row r="19" spans="1:8" ht="171.6">
      <c r="A19" s="2" t="s">
        <v>164</v>
      </c>
      <c r="B19" s="71" t="s">
        <v>452</v>
      </c>
      <c r="C19" s="76" t="s">
        <v>515</v>
      </c>
      <c r="D19" s="2" t="s">
        <v>514</v>
      </c>
      <c r="E19" s="2" t="s">
        <v>164</v>
      </c>
      <c r="F19" s="74">
        <v>42796</v>
      </c>
      <c r="G19" s="72" t="s">
        <v>454</v>
      </c>
      <c r="H19" s="72" t="s">
        <v>455</v>
      </c>
    </row>
    <row r="20" spans="1:8" ht="79.2">
      <c r="A20" s="2" t="s">
        <v>163</v>
      </c>
      <c r="B20" s="71" t="s">
        <v>452</v>
      </c>
      <c r="C20" s="76" t="s">
        <v>516</v>
      </c>
      <c r="D20" s="2" t="s">
        <v>514</v>
      </c>
      <c r="E20" s="2" t="s">
        <v>163</v>
      </c>
      <c r="F20" s="74">
        <v>42806</v>
      </c>
      <c r="G20" s="72" t="s">
        <v>454</v>
      </c>
      <c r="H20" s="72" t="s">
        <v>455</v>
      </c>
    </row>
    <row r="21" spans="1:8" ht="105.6">
      <c r="A21" s="2" t="s">
        <v>165</v>
      </c>
      <c r="B21" s="71" t="s">
        <v>452</v>
      </c>
      <c r="C21" s="76" t="s">
        <v>517</v>
      </c>
      <c r="D21" s="2" t="s">
        <v>514</v>
      </c>
      <c r="E21" s="2" t="s">
        <v>165</v>
      </c>
      <c r="F21" s="74">
        <v>42815</v>
      </c>
      <c r="G21" s="72" t="s">
        <v>454</v>
      </c>
      <c r="H21" s="72" t="s">
        <v>455</v>
      </c>
    </row>
    <row r="22" spans="1:8" ht="157.19999999999999">
      <c r="A22" s="2" t="s">
        <v>175</v>
      </c>
      <c r="B22" s="71" t="s">
        <v>452</v>
      </c>
      <c r="C22" s="76" t="s">
        <v>518</v>
      </c>
      <c r="D22" s="2" t="s">
        <v>514</v>
      </c>
      <c r="E22" s="2" t="s">
        <v>174</v>
      </c>
      <c r="F22" s="74">
        <v>42817</v>
      </c>
      <c r="G22" s="72" t="s">
        <v>454</v>
      </c>
      <c r="H22" s="72" t="s">
        <v>455</v>
      </c>
    </row>
    <row r="23" spans="1:8" ht="129.6">
      <c r="A23" s="2" t="s">
        <v>178</v>
      </c>
      <c r="B23" s="71" t="s">
        <v>452</v>
      </c>
      <c r="C23" s="76" t="s">
        <v>519</v>
      </c>
      <c r="D23" s="2" t="s">
        <v>514</v>
      </c>
      <c r="E23" s="2" t="s">
        <v>178</v>
      </c>
      <c r="F23" s="74">
        <v>42824</v>
      </c>
      <c r="G23" s="72" t="s">
        <v>454</v>
      </c>
      <c r="H23" s="72" t="s">
        <v>455</v>
      </c>
    </row>
    <row r="24" spans="1:8" ht="248.4">
      <c r="A24" s="2" t="s">
        <v>191</v>
      </c>
      <c r="B24" s="71" t="s">
        <v>452</v>
      </c>
      <c r="C24" s="76" t="s">
        <v>520</v>
      </c>
      <c r="D24" s="2" t="s">
        <v>514</v>
      </c>
      <c r="E24" s="2" t="s">
        <v>191</v>
      </c>
      <c r="F24" s="74">
        <v>42831</v>
      </c>
      <c r="G24" s="72" t="s">
        <v>454</v>
      </c>
      <c r="H24" s="72" t="s">
        <v>455</v>
      </c>
    </row>
    <row r="25" spans="1:8" ht="247.2">
      <c r="A25" s="2" t="s">
        <v>204</v>
      </c>
      <c r="B25" s="71" t="s">
        <v>452</v>
      </c>
      <c r="C25" s="76" t="s">
        <v>521</v>
      </c>
      <c r="D25" s="2" t="s">
        <v>514</v>
      </c>
      <c r="E25" s="2" t="s">
        <v>203</v>
      </c>
      <c r="F25" s="74">
        <v>42857</v>
      </c>
      <c r="G25" s="72" t="s">
        <v>454</v>
      </c>
      <c r="H25" s="72" t="s">
        <v>455</v>
      </c>
    </row>
    <row r="26" spans="1:8" ht="235.2">
      <c r="A26" s="2" t="s">
        <v>244</v>
      </c>
      <c r="B26" s="71" t="s">
        <v>452</v>
      </c>
      <c r="C26" s="76" t="s">
        <v>522</v>
      </c>
      <c r="D26" s="2" t="s">
        <v>514</v>
      </c>
      <c r="E26" s="2" t="s">
        <v>244</v>
      </c>
      <c r="F26" s="74">
        <v>42870</v>
      </c>
      <c r="G26" s="72" t="s">
        <v>454</v>
      </c>
      <c r="H26" s="72" t="s">
        <v>455</v>
      </c>
    </row>
    <row r="27" spans="1:8" ht="13.2">
      <c r="A27" s="2" t="s">
        <v>257</v>
      </c>
      <c r="B27" s="71" t="s">
        <v>452</v>
      </c>
      <c r="C27" s="73" t="s">
        <v>258</v>
      </c>
      <c r="D27" s="2" t="s">
        <v>514</v>
      </c>
      <c r="E27" s="2" t="s">
        <v>257</v>
      </c>
      <c r="F27" s="74">
        <v>42895</v>
      </c>
      <c r="G27" s="77" t="s">
        <v>454</v>
      </c>
      <c r="H27" s="72" t="s">
        <v>455</v>
      </c>
    </row>
    <row r="28" spans="1:8" ht="130.80000000000001">
      <c r="A28" s="2" t="s">
        <v>333</v>
      </c>
      <c r="B28" s="71" t="s">
        <v>452</v>
      </c>
      <c r="C28" s="76" t="s">
        <v>523</v>
      </c>
      <c r="D28" s="2" t="s">
        <v>514</v>
      </c>
      <c r="E28" s="2" t="s">
        <v>333</v>
      </c>
      <c r="F28" s="74">
        <v>42923</v>
      </c>
      <c r="G28" s="77" t="s">
        <v>454</v>
      </c>
      <c r="H28" s="72" t="s">
        <v>455</v>
      </c>
    </row>
    <row r="29" spans="1:8" ht="115.2">
      <c r="A29" s="2" t="s">
        <v>342</v>
      </c>
      <c r="B29" s="71" t="s">
        <v>452</v>
      </c>
      <c r="C29" s="76" t="s">
        <v>524</v>
      </c>
      <c r="D29" s="76" t="s">
        <v>525</v>
      </c>
      <c r="E29" s="76" t="s">
        <v>343</v>
      </c>
      <c r="F29" s="74">
        <v>42942</v>
      </c>
      <c r="G29" s="77" t="s">
        <v>454</v>
      </c>
      <c r="H29" s="72" t="s">
        <v>455</v>
      </c>
    </row>
    <row r="30" spans="1:8" ht="51.6">
      <c r="A30" s="2" t="s">
        <v>375</v>
      </c>
      <c r="B30" s="71" t="s">
        <v>452</v>
      </c>
      <c r="C30" s="76" t="s">
        <v>526</v>
      </c>
      <c r="D30" s="76" t="s">
        <v>525</v>
      </c>
      <c r="E30" s="76" t="s">
        <v>376</v>
      </c>
      <c r="F30" s="74">
        <v>42954</v>
      </c>
      <c r="G30" s="77" t="s">
        <v>454</v>
      </c>
      <c r="H30" s="72" t="s">
        <v>457</v>
      </c>
    </row>
    <row r="31" spans="1:8" ht="153.6">
      <c r="A31" s="2" t="s">
        <v>377</v>
      </c>
      <c r="B31" s="71" t="s">
        <v>452</v>
      </c>
      <c r="C31" s="76" t="s">
        <v>527</v>
      </c>
      <c r="D31" s="76" t="s">
        <v>528</v>
      </c>
      <c r="E31" s="76" t="s">
        <v>392</v>
      </c>
      <c r="F31" s="74">
        <v>43017</v>
      </c>
      <c r="G31" s="77" t="s">
        <v>454</v>
      </c>
      <c r="H31" s="72" t="s">
        <v>457</v>
      </c>
    </row>
    <row r="32" spans="1:8" ht="63.6">
      <c r="A32" s="2" t="s">
        <v>423</v>
      </c>
      <c r="B32" s="71" t="s">
        <v>452</v>
      </c>
      <c r="C32" s="76" t="s">
        <v>529</v>
      </c>
      <c r="D32" s="76" t="s">
        <v>528</v>
      </c>
      <c r="E32" s="76" t="s">
        <v>392</v>
      </c>
      <c r="F32" s="74">
        <v>43031</v>
      </c>
      <c r="G32" s="77" t="s">
        <v>454</v>
      </c>
      <c r="H32" s="77" t="s">
        <v>457</v>
      </c>
    </row>
    <row r="33" spans="1:8" ht="63.6">
      <c r="A33" s="2" t="s">
        <v>427</v>
      </c>
      <c r="B33" s="71" t="s">
        <v>452</v>
      </c>
      <c r="C33" s="73" t="s">
        <v>428</v>
      </c>
      <c r="D33" s="76" t="s">
        <v>528</v>
      </c>
      <c r="E33" s="76" t="s">
        <v>429</v>
      </c>
      <c r="F33" s="74">
        <v>43032</v>
      </c>
      <c r="G33" s="77" t="s">
        <v>454</v>
      </c>
      <c r="H33" s="77" t="s">
        <v>457</v>
      </c>
    </row>
    <row r="34" spans="1:8" ht="63.6">
      <c r="A34" s="2" t="s">
        <v>431</v>
      </c>
      <c r="B34" s="2" t="s">
        <v>453</v>
      </c>
      <c r="C34" s="76" t="s">
        <v>530</v>
      </c>
      <c r="D34" s="76" t="s">
        <v>528</v>
      </c>
      <c r="E34" s="76" t="s">
        <v>433</v>
      </c>
      <c r="F34" s="74">
        <v>43048</v>
      </c>
      <c r="G34" s="77" t="s">
        <v>454</v>
      </c>
      <c r="H34" s="77" t="s">
        <v>457</v>
      </c>
    </row>
    <row r="35" spans="1:8" ht="63.6">
      <c r="A35" s="2" t="s">
        <v>434</v>
      </c>
      <c r="B35" s="76" t="s">
        <v>531</v>
      </c>
      <c r="C35" s="73" t="s">
        <v>428</v>
      </c>
      <c r="D35" s="76" t="s">
        <v>528</v>
      </c>
      <c r="E35" s="76" t="s">
        <v>433</v>
      </c>
      <c r="F35" s="74">
        <v>43096</v>
      </c>
      <c r="G35" s="77" t="s">
        <v>454</v>
      </c>
      <c r="H35" s="77" t="s">
        <v>457</v>
      </c>
    </row>
    <row r="36" spans="1:8" ht="63.6">
      <c r="A36" s="2" t="s">
        <v>461</v>
      </c>
      <c r="B36" s="73" t="s">
        <v>452</v>
      </c>
      <c r="C36" s="76" t="s">
        <v>532</v>
      </c>
      <c r="D36" s="76" t="s">
        <v>528</v>
      </c>
      <c r="E36" s="76" t="s">
        <v>492</v>
      </c>
      <c r="F36" s="74">
        <v>43105</v>
      </c>
      <c r="G36" s="77" t="s">
        <v>454</v>
      </c>
      <c r="H36" s="77" t="s">
        <v>457</v>
      </c>
    </row>
    <row r="37" spans="1:8" ht="139.19999999999999">
      <c r="A37" s="2" t="s">
        <v>494</v>
      </c>
      <c r="B37" s="73" t="s">
        <v>452</v>
      </c>
      <c r="C37" s="76" t="s">
        <v>533</v>
      </c>
      <c r="D37" s="76" t="s">
        <v>528</v>
      </c>
      <c r="E37" s="79" t="s">
        <v>556</v>
      </c>
      <c r="F37" s="74">
        <v>43165</v>
      </c>
      <c r="G37" s="77" t="s">
        <v>454</v>
      </c>
      <c r="H37" s="77" t="s">
        <v>457</v>
      </c>
    </row>
    <row r="38" spans="1:8" ht="217.2">
      <c r="A38" s="2" t="s">
        <v>537</v>
      </c>
      <c r="B38" s="73" t="s">
        <v>452</v>
      </c>
      <c r="C38" s="76" t="s">
        <v>540</v>
      </c>
      <c r="D38" s="76" t="s">
        <v>528</v>
      </c>
      <c r="E38" s="79" t="s">
        <v>555</v>
      </c>
      <c r="F38" s="74">
        <v>43241</v>
      </c>
      <c r="G38" s="77" t="s">
        <v>538</v>
      </c>
      <c r="H38" s="77" t="s">
        <v>457</v>
      </c>
    </row>
    <row r="39" spans="1:8" ht="141.75" customHeight="1">
      <c r="A39" s="2" t="s">
        <v>546</v>
      </c>
      <c r="B39" s="73" t="s">
        <v>452</v>
      </c>
      <c r="C39" s="76" t="s">
        <v>553</v>
      </c>
      <c r="D39" s="79" t="s">
        <v>557</v>
      </c>
      <c r="E39" s="79" t="s">
        <v>558</v>
      </c>
      <c r="F39" s="74">
        <v>43244</v>
      </c>
      <c r="G39" s="77" t="s">
        <v>538</v>
      </c>
      <c r="H39" s="77" t="s">
        <v>457</v>
      </c>
    </row>
    <row r="40" spans="1:8" ht="100.8">
      <c r="A40" s="2" t="s">
        <v>554</v>
      </c>
      <c r="B40" s="73" t="s">
        <v>559</v>
      </c>
      <c r="C40" s="73" t="s">
        <v>428</v>
      </c>
      <c r="D40" s="79" t="s">
        <v>557</v>
      </c>
      <c r="E40" s="79" t="s">
        <v>685</v>
      </c>
      <c r="F40" s="74">
        <v>43245</v>
      </c>
      <c r="G40" s="77" t="s">
        <v>538</v>
      </c>
      <c r="H40" s="77" t="s">
        <v>457</v>
      </c>
    </row>
  </sheetData>
  <mergeCells count="11">
    <mergeCell ref="A1:I2"/>
    <mergeCell ref="D4:G4"/>
    <mergeCell ref="A5:B5"/>
    <mergeCell ref="D5:G5"/>
    <mergeCell ref="A6:B6"/>
    <mergeCell ref="D6:G6"/>
    <mergeCell ref="A7:B7"/>
    <mergeCell ref="D7:G7"/>
    <mergeCell ref="A8:B8"/>
    <mergeCell ref="D8:G8"/>
    <mergeCell ref="D9:G9"/>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5"/>
  <sheetViews>
    <sheetView zoomScaleNormal="100" workbookViewId="0">
      <selection activeCell="B6" sqref="B6"/>
    </sheetView>
  </sheetViews>
  <sheetFormatPr defaultColWidth="9" defaultRowHeight="13.2"/>
  <cols>
    <col min="1" max="2" width="13" style="80" bestFit="1" customWidth="1"/>
    <col min="3" max="3" width="66.6640625" style="80" bestFit="1" customWidth="1"/>
    <col min="4" max="4" width="55.44140625" style="80" bestFit="1" customWidth="1"/>
    <col min="5" max="16384" width="9" style="80"/>
  </cols>
  <sheetData>
    <row r="2" spans="2:3" ht="14.4">
      <c r="B2" s="81" t="s">
        <v>459</v>
      </c>
      <c r="C2" s="81" t="s">
        <v>460</v>
      </c>
    </row>
    <row r="3" spans="2:3" ht="14.4">
      <c r="B3" s="82">
        <v>1</v>
      </c>
      <c r="C3" s="81" t="s">
        <v>560</v>
      </c>
    </row>
    <row r="4" spans="2:3" ht="14.4">
      <c r="B4" s="82">
        <v>2</v>
      </c>
      <c r="C4" s="82" t="s">
        <v>561</v>
      </c>
    </row>
    <row r="5" spans="2:3" ht="14.4">
      <c r="B5" s="82">
        <v>3</v>
      </c>
      <c r="C5" s="81" t="s">
        <v>539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B10" sqref="B10"/>
    </sheetView>
  </sheetViews>
  <sheetFormatPr defaultColWidth="9" defaultRowHeight="14.4"/>
  <cols>
    <col min="1" max="1" width="9" style="3"/>
    <col min="2" max="2" width="20.44140625" style="3" bestFit="1" customWidth="1"/>
    <col min="3" max="3" width="10.44140625" style="3" customWidth="1"/>
    <col min="4" max="4" width="56.44140625" style="3" bestFit="1" customWidth="1"/>
    <col min="5" max="5" width="9" style="3"/>
    <col min="6" max="8" width="9" style="18"/>
    <col min="9" max="16384" width="9" style="3"/>
  </cols>
  <sheetData>
    <row r="1" spans="1:10" ht="13.8">
      <c r="A1" s="6" t="s">
        <v>402</v>
      </c>
      <c r="B1" s="19" t="s">
        <v>206</v>
      </c>
      <c r="C1" s="19" t="s">
        <v>738</v>
      </c>
      <c r="D1" s="6" t="s">
        <v>403</v>
      </c>
      <c r="E1" s="6" t="s">
        <v>404</v>
      </c>
      <c r="F1" s="6" t="s">
        <v>334</v>
      </c>
      <c r="G1" s="19" t="s">
        <v>335</v>
      </c>
      <c r="H1" s="19" t="s">
        <v>336</v>
      </c>
      <c r="I1" s="19" t="s">
        <v>416</v>
      </c>
      <c r="J1" s="19" t="s">
        <v>417</v>
      </c>
    </row>
    <row r="2" spans="1:10" ht="13.8">
      <c r="A2" s="11">
        <v>1</v>
      </c>
      <c r="B2" s="4" t="s">
        <v>740</v>
      </c>
      <c r="C2" s="4" t="s">
        <v>739</v>
      </c>
      <c r="D2" s="4" t="s">
        <v>36</v>
      </c>
      <c r="E2" s="4" t="s">
        <v>57</v>
      </c>
      <c r="F2" s="5">
        <v>3</v>
      </c>
      <c r="G2" s="5">
        <v>4</v>
      </c>
      <c r="H2" s="5">
        <v>5</v>
      </c>
      <c r="I2" s="56" t="s">
        <v>509</v>
      </c>
      <c r="J2" s="56" t="s">
        <v>509</v>
      </c>
    </row>
    <row r="3" spans="1:10" ht="13.8">
      <c r="A3" s="11">
        <v>2</v>
      </c>
      <c r="B3" s="4" t="s">
        <v>41</v>
      </c>
      <c r="C3" s="4" t="s">
        <v>739</v>
      </c>
      <c r="D3" s="7" t="s">
        <v>42</v>
      </c>
      <c r="E3" s="4" t="s">
        <v>58</v>
      </c>
      <c r="F3" s="5">
        <v>90</v>
      </c>
      <c r="G3" s="5">
        <v>90</v>
      </c>
      <c r="H3" s="5" t="s">
        <v>398</v>
      </c>
      <c r="I3" s="56" t="s">
        <v>509</v>
      </c>
      <c r="J3" s="56" t="s">
        <v>509</v>
      </c>
    </row>
    <row r="4" spans="1:10" s="45" customFormat="1" ht="13.8">
      <c r="A4" s="11">
        <v>3</v>
      </c>
      <c r="B4" s="4" t="s">
        <v>124</v>
      </c>
      <c r="C4" s="4" t="s">
        <v>739</v>
      </c>
      <c r="D4" s="7" t="s">
        <v>405</v>
      </c>
      <c r="E4" s="4" t="s">
        <v>14</v>
      </c>
      <c r="F4" s="5" t="s">
        <v>490</v>
      </c>
      <c r="G4" s="5" t="s">
        <v>489</v>
      </c>
      <c r="H4" s="5" t="s">
        <v>489</v>
      </c>
      <c r="I4" s="56" t="s">
        <v>509</v>
      </c>
      <c r="J4" s="56" t="s">
        <v>509</v>
      </c>
    </row>
    <row r="5" spans="1:10" s="45" customFormat="1" ht="13.8">
      <c r="A5" s="11">
        <v>5</v>
      </c>
      <c r="B5" s="4" t="s">
        <v>180</v>
      </c>
      <c r="C5" s="4" t="s">
        <v>739</v>
      </c>
      <c r="D5" s="7" t="s">
        <v>406</v>
      </c>
      <c r="E5" s="4" t="s">
        <v>14</v>
      </c>
      <c r="F5" s="5">
        <v>4.0129999999999999</v>
      </c>
      <c r="G5" s="5">
        <v>4.0129999999999999</v>
      </c>
      <c r="H5" s="5">
        <v>4.0129999999999999</v>
      </c>
      <c r="I5" s="56" t="s">
        <v>509</v>
      </c>
      <c r="J5" s="56" t="s">
        <v>509</v>
      </c>
    </row>
    <row r="6" spans="1:10" s="45" customFormat="1" ht="13.8">
      <c r="A6" s="11">
        <v>6</v>
      </c>
      <c r="B6" s="4" t="s">
        <v>179</v>
      </c>
      <c r="C6" s="4" t="s">
        <v>739</v>
      </c>
      <c r="D6" s="7" t="s">
        <v>208</v>
      </c>
      <c r="E6" s="4" t="s">
        <v>59</v>
      </c>
      <c r="F6" s="5">
        <v>7.04</v>
      </c>
      <c r="G6" s="5">
        <v>7.04</v>
      </c>
      <c r="H6" s="5">
        <v>7.04</v>
      </c>
      <c r="I6" s="56" t="s">
        <v>509</v>
      </c>
      <c r="J6" s="56" t="s">
        <v>509</v>
      </c>
    </row>
    <row r="7" spans="1:10" s="45" customFormat="1" ht="13.8">
      <c r="A7" s="11">
        <v>8</v>
      </c>
      <c r="B7" s="4" t="s">
        <v>414</v>
      </c>
      <c r="C7" s="4" t="s">
        <v>739</v>
      </c>
      <c r="D7" s="7" t="s">
        <v>407</v>
      </c>
      <c r="E7" s="4" t="s">
        <v>0</v>
      </c>
      <c r="F7" s="5" t="s">
        <v>112</v>
      </c>
      <c r="G7" s="5" t="s">
        <v>112</v>
      </c>
      <c r="H7" s="5" t="s">
        <v>112</v>
      </c>
      <c r="I7" s="56" t="s">
        <v>509</v>
      </c>
      <c r="J7" s="56" t="s">
        <v>509</v>
      </c>
    </row>
    <row r="8" spans="1:10" ht="13.8">
      <c r="A8" s="11">
        <v>9</v>
      </c>
      <c r="B8" s="4" t="s">
        <v>394</v>
      </c>
      <c r="C8" s="4" t="s">
        <v>739</v>
      </c>
      <c r="D8" s="7" t="s">
        <v>408</v>
      </c>
      <c r="E8" s="4" t="s">
        <v>0</v>
      </c>
      <c r="F8" s="5">
        <v>1</v>
      </c>
      <c r="G8" s="5">
        <v>1</v>
      </c>
      <c r="H8" s="5">
        <v>1</v>
      </c>
      <c r="I8" s="56" t="s">
        <v>509</v>
      </c>
      <c r="J8" s="56" t="s">
        <v>509</v>
      </c>
    </row>
    <row r="9" spans="1:10" s="45" customFormat="1" ht="13.8">
      <c r="A9" s="11">
        <v>10</v>
      </c>
      <c r="B9" s="4" t="s">
        <v>96</v>
      </c>
      <c r="C9" s="4" t="s">
        <v>739</v>
      </c>
      <c r="D9" s="7" t="s">
        <v>409</v>
      </c>
      <c r="E9" s="4" t="s">
        <v>0</v>
      </c>
      <c r="F9" s="5">
        <v>0.6</v>
      </c>
      <c r="G9" s="5">
        <v>0.6</v>
      </c>
      <c r="H9" s="5" t="s">
        <v>488</v>
      </c>
      <c r="I9" s="56" t="s">
        <v>509</v>
      </c>
      <c r="J9" s="56" t="s">
        <v>509</v>
      </c>
    </row>
    <row r="10" spans="1:10" s="45" customFormat="1" ht="13.8">
      <c r="A10" s="11">
        <v>11</v>
      </c>
      <c r="B10" s="4" t="s">
        <v>744</v>
      </c>
      <c r="C10" s="4" t="s">
        <v>739</v>
      </c>
      <c r="D10" s="7" t="s">
        <v>410</v>
      </c>
      <c r="E10" s="4" t="s">
        <v>0</v>
      </c>
      <c r="F10" s="5">
        <v>0.8</v>
      </c>
      <c r="G10" s="5">
        <v>1</v>
      </c>
      <c r="H10" s="5" t="s">
        <v>743</v>
      </c>
      <c r="I10" s="56" t="s">
        <v>509</v>
      </c>
      <c r="J10" s="56" t="s">
        <v>509</v>
      </c>
    </row>
    <row r="11" spans="1:10" s="45" customFormat="1" ht="13.8">
      <c r="A11" s="11">
        <v>12</v>
      </c>
      <c r="B11" s="4" t="s">
        <v>166</v>
      </c>
      <c r="C11" s="4" t="s">
        <v>739</v>
      </c>
      <c r="D11" s="7" t="s">
        <v>43</v>
      </c>
      <c r="E11" s="4" t="s">
        <v>0</v>
      </c>
      <c r="F11" s="5">
        <v>1</v>
      </c>
      <c r="G11" s="5">
        <v>1</v>
      </c>
      <c r="H11" s="5">
        <v>1</v>
      </c>
      <c r="I11" s="56" t="s">
        <v>509</v>
      </c>
      <c r="J11" s="56" t="s">
        <v>509</v>
      </c>
    </row>
    <row r="12" spans="1:10" s="45" customFormat="1" ht="25.2">
      <c r="A12" s="11">
        <v>13</v>
      </c>
      <c r="B12" s="4" t="s">
        <v>44</v>
      </c>
      <c r="C12" s="4" t="s">
        <v>739</v>
      </c>
      <c r="D12" s="7" t="s">
        <v>227</v>
      </c>
      <c r="E12" s="4" t="s">
        <v>60</v>
      </c>
      <c r="F12" s="5">
        <v>1600</v>
      </c>
      <c r="G12" s="5">
        <v>1600</v>
      </c>
      <c r="H12" s="5">
        <v>1600</v>
      </c>
      <c r="I12" s="56" t="s">
        <v>509</v>
      </c>
      <c r="J12" s="56" t="s">
        <v>509</v>
      </c>
    </row>
    <row r="13" spans="1:10" s="45" customFormat="1" ht="25.2">
      <c r="A13" s="11">
        <v>14</v>
      </c>
      <c r="B13" s="4" t="s">
        <v>45</v>
      </c>
      <c r="C13" s="4" t="s">
        <v>739</v>
      </c>
      <c r="D13" s="7" t="s">
        <v>411</v>
      </c>
      <c r="E13" s="4" t="s">
        <v>60</v>
      </c>
      <c r="F13" s="5" t="s">
        <v>543</v>
      </c>
      <c r="G13" s="5">
        <v>1600</v>
      </c>
      <c r="H13" s="5">
        <v>1600</v>
      </c>
      <c r="I13" s="56" t="s">
        <v>509</v>
      </c>
      <c r="J13" s="56" t="s">
        <v>509</v>
      </c>
    </row>
    <row r="14" spans="1:10" s="45" customFormat="1" ht="13.8">
      <c r="A14" s="11">
        <v>15</v>
      </c>
      <c r="B14" s="4" t="s">
        <v>46</v>
      </c>
      <c r="C14" s="4" t="s">
        <v>739</v>
      </c>
      <c r="D14" s="7" t="s">
        <v>412</v>
      </c>
      <c r="E14" s="4" t="s">
        <v>60</v>
      </c>
      <c r="F14" s="5">
        <v>1500</v>
      </c>
      <c r="G14" s="5">
        <v>1500</v>
      </c>
      <c r="H14" s="5">
        <v>1500</v>
      </c>
      <c r="I14" s="56" t="s">
        <v>509</v>
      </c>
      <c r="J14" s="56" t="s">
        <v>509</v>
      </c>
    </row>
    <row r="15" spans="1:10" s="45" customFormat="1" ht="39.6">
      <c r="A15" s="11">
        <v>16</v>
      </c>
      <c r="B15" s="4" t="s">
        <v>47</v>
      </c>
      <c r="C15" s="4" t="s">
        <v>739</v>
      </c>
      <c r="D15" s="7" t="s">
        <v>413</v>
      </c>
      <c r="E15" s="4" t="s">
        <v>60</v>
      </c>
      <c r="F15" s="5" t="s">
        <v>544</v>
      </c>
      <c r="G15" s="5">
        <v>1000</v>
      </c>
      <c r="H15" s="5">
        <v>1000</v>
      </c>
      <c r="I15" s="56" t="s">
        <v>509</v>
      </c>
      <c r="J15" s="56" t="s">
        <v>509</v>
      </c>
    </row>
    <row r="16" spans="1:10" s="45" customFormat="1" ht="26.4">
      <c r="A16" s="11">
        <v>17</v>
      </c>
      <c r="B16" s="4" t="s">
        <v>48</v>
      </c>
      <c r="C16" s="4" t="s">
        <v>739</v>
      </c>
      <c r="D16" s="7" t="s">
        <v>332</v>
      </c>
      <c r="E16" s="4" t="s">
        <v>60</v>
      </c>
      <c r="F16" s="5">
        <v>400</v>
      </c>
      <c r="G16" s="5">
        <v>400</v>
      </c>
      <c r="H16" s="5">
        <v>400</v>
      </c>
      <c r="I16" s="56" t="s">
        <v>509</v>
      </c>
      <c r="J16" s="56" t="s">
        <v>509</v>
      </c>
    </row>
    <row r="17" spans="1:10" s="45" customFormat="1" ht="13.8">
      <c r="A17" s="11">
        <v>18</v>
      </c>
      <c r="B17" s="4" t="s">
        <v>49</v>
      </c>
      <c r="C17" s="4" t="s">
        <v>739</v>
      </c>
      <c r="D17" s="7" t="s">
        <v>228</v>
      </c>
      <c r="E17" s="4" t="s">
        <v>60</v>
      </c>
      <c r="F17" s="5">
        <v>400</v>
      </c>
      <c r="G17" s="5">
        <v>400</v>
      </c>
      <c r="H17" s="5">
        <v>400</v>
      </c>
      <c r="I17" s="56" t="s">
        <v>509</v>
      </c>
      <c r="J17" s="56" t="s">
        <v>509</v>
      </c>
    </row>
    <row r="18" spans="1:10" ht="13.8">
      <c r="A18" s="11">
        <v>19</v>
      </c>
      <c r="B18" s="4" t="s">
        <v>50</v>
      </c>
      <c r="C18" s="4" t="s">
        <v>739</v>
      </c>
      <c r="D18" s="7" t="s">
        <v>51</v>
      </c>
      <c r="E18" s="4" t="s">
        <v>29</v>
      </c>
      <c r="F18" s="5" t="s">
        <v>150</v>
      </c>
      <c r="G18" s="5" t="s">
        <v>150</v>
      </c>
      <c r="H18" s="5" t="s">
        <v>150</v>
      </c>
      <c r="I18" s="56" t="s">
        <v>509</v>
      </c>
      <c r="J18" s="56" t="s">
        <v>509</v>
      </c>
    </row>
    <row r="19" spans="1:10" ht="13.8">
      <c r="A19" s="11">
        <v>20</v>
      </c>
      <c r="B19" s="4" t="s">
        <v>52</v>
      </c>
      <c r="C19" s="4" t="s">
        <v>739</v>
      </c>
      <c r="D19" s="7" t="s">
        <v>53</v>
      </c>
      <c r="E19" s="4" t="s">
        <v>59</v>
      </c>
      <c r="F19" s="5">
        <v>1.006</v>
      </c>
      <c r="G19" s="5">
        <v>1.006</v>
      </c>
      <c r="H19" s="5">
        <v>1.006</v>
      </c>
      <c r="I19" s="56" t="s">
        <v>509</v>
      </c>
      <c r="J19" s="56" t="s">
        <v>509</v>
      </c>
    </row>
    <row r="20" spans="1:10" ht="13.8">
      <c r="A20" s="11">
        <v>21</v>
      </c>
      <c r="B20" s="4" t="s">
        <v>71</v>
      </c>
      <c r="C20" s="4" t="s">
        <v>739</v>
      </c>
      <c r="D20" s="7" t="s">
        <v>54</v>
      </c>
      <c r="E20" s="4" t="s">
        <v>59</v>
      </c>
      <c r="F20" s="5">
        <v>0.98599999999999999</v>
      </c>
      <c r="G20" s="5">
        <v>0.98599999999999999</v>
      </c>
      <c r="H20" s="5">
        <v>0.98599999999999999</v>
      </c>
      <c r="I20" s="56" t="s">
        <v>509</v>
      </c>
      <c r="J20" s="56" t="s">
        <v>509</v>
      </c>
    </row>
    <row r="21" spans="1:10" ht="13.8">
      <c r="A21" s="11">
        <v>22</v>
      </c>
      <c r="B21" s="4" t="s">
        <v>55</v>
      </c>
      <c r="C21" s="4" t="s">
        <v>739</v>
      </c>
      <c r="D21" s="7" t="s">
        <v>56</v>
      </c>
      <c r="E21" s="4" t="s">
        <v>59</v>
      </c>
      <c r="F21" s="5">
        <v>1.3</v>
      </c>
      <c r="G21" s="5">
        <v>1.3</v>
      </c>
      <c r="H21" s="5">
        <v>1.3</v>
      </c>
      <c r="I21" s="56" t="s">
        <v>509</v>
      </c>
      <c r="J21" s="56" t="s">
        <v>509</v>
      </c>
    </row>
    <row r="22" spans="1:10" ht="13.8">
      <c r="A22" s="11">
        <v>23</v>
      </c>
      <c r="B22" s="4" t="s">
        <v>128</v>
      </c>
      <c r="C22" s="4" t="s">
        <v>739</v>
      </c>
      <c r="D22" s="7" t="s">
        <v>209</v>
      </c>
      <c r="E22" s="4" t="s">
        <v>31</v>
      </c>
      <c r="F22" s="5" t="s">
        <v>129</v>
      </c>
      <c r="G22" s="5" t="s">
        <v>129</v>
      </c>
      <c r="H22" s="5" t="s">
        <v>129</v>
      </c>
      <c r="I22" s="56" t="s">
        <v>509</v>
      </c>
      <c r="J22" s="56" t="s">
        <v>509</v>
      </c>
    </row>
    <row r="23" spans="1:10">
      <c r="I23" s="18"/>
      <c r="J23" s="18"/>
    </row>
  </sheetData>
  <protectedRanges>
    <protectedRange sqref="F2:J22" name="配置值_1"/>
  </protectedRanges>
  <phoneticPr fontId="1" type="noConversion"/>
  <conditionalFormatting sqref="F3:H1048576 F1:J2 I2:J23">
    <cfRule type="cellIs" dxfId="24" priority="2" operator="equal">
      <formula>"N/A"</formula>
    </cfRule>
  </conditionalFormatting>
  <conditionalFormatting sqref="A1:XFD1048576">
    <cfRule type="cellIs" dxfId="23" priority="1" operator="equal">
      <formula>"NA"</formula>
    </cfRule>
  </conditionalFormatting>
  <pageMargins left="0.7" right="0.7" top="0.75" bottom="0.75" header="0.3" footer="0.3"/>
  <ignoredErrors>
    <ignoredError sqref="F3:H3 F11:H12 F9:G9 F5:H7 F14:H14 G13:H13 F16:H22 G15:H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zoomScaleNormal="100" workbookViewId="0">
      <selection activeCell="F1" sqref="F1"/>
    </sheetView>
  </sheetViews>
  <sheetFormatPr defaultColWidth="9" defaultRowHeight="13.8"/>
  <cols>
    <col min="1" max="1" width="9" style="1"/>
    <col min="2" max="2" width="23.6640625" style="1" customWidth="1"/>
    <col min="3" max="3" width="8.44140625" style="1" bestFit="1" customWidth="1"/>
    <col min="4" max="4" width="52.88671875" style="1" bestFit="1" customWidth="1"/>
    <col min="5" max="5" width="6.44140625" style="1" bestFit="1" customWidth="1"/>
    <col min="6" max="6" width="11.44140625" style="9" bestFit="1" customWidth="1"/>
    <col min="7" max="7" width="15" style="1" bestFit="1" customWidth="1"/>
    <col min="8" max="8" width="26" style="10" customWidth="1"/>
    <col min="9" max="16384" width="9" style="1"/>
  </cols>
  <sheetData>
    <row r="1" spans="1:8">
      <c r="A1" s="83" t="s">
        <v>562</v>
      </c>
      <c r="B1" s="83" t="s">
        <v>206</v>
      </c>
      <c r="C1" s="108" t="s">
        <v>737</v>
      </c>
      <c r="D1" s="83" t="s">
        <v>564</v>
      </c>
      <c r="E1" s="83" t="s">
        <v>565</v>
      </c>
      <c r="F1" s="91" t="s">
        <v>742</v>
      </c>
      <c r="G1" s="83" t="s">
        <v>566</v>
      </c>
      <c r="H1" s="83" t="s">
        <v>567</v>
      </c>
    </row>
    <row r="2" spans="1:8">
      <c r="A2" s="84" t="s">
        <v>393</v>
      </c>
      <c r="B2" s="85" t="s">
        <v>85</v>
      </c>
      <c r="C2" s="85" t="s">
        <v>736</v>
      </c>
      <c r="D2" s="85" t="s">
        <v>568</v>
      </c>
      <c r="E2" s="85" t="s">
        <v>38</v>
      </c>
      <c r="F2" s="5">
        <v>0</v>
      </c>
      <c r="G2" s="85" t="s">
        <v>569</v>
      </c>
      <c r="H2" s="86"/>
    </row>
    <row r="3" spans="1:8">
      <c r="A3" s="84" t="s">
        <v>261</v>
      </c>
      <c r="B3" s="85" t="s">
        <v>86</v>
      </c>
      <c r="C3" s="85" t="s">
        <v>15</v>
      </c>
      <c r="D3" s="85" t="s">
        <v>570</v>
      </c>
      <c r="E3" s="85" t="s">
        <v>32</v>
      </c>
      <c r="F3" s="5">
        <v>0</v>
      </c>
      <c r="G3" s="85" t="s">
        <v>34</v>
      </c>
      <c r="H3" s="86"/>
    </row>
    <row r="4" spans="1:8">
      <c r="A4" s="84" t="s">
        <v>314</v>
      </c>
      <c r="B4" s="85" t="s">
        <v>87</v>
      </c>
      <c r="C4" s="85" t="s">
        <v>15</v>
      </c>
      <c r="D4" s="85" t="s">
        <v>571</v>
      </c>
      <c r="E4" s="85" t="s">
        <v>17</v>
      </c>
      <c r="F4" s="5">
        <v>0</v>
      </c>
      <c r="G4" s="85" t="s">
        <v>34</v>
      </c>
      <c r="H4" s="86"/>
    </row>
    <row r="5" spans="1:8">
      <c r="A5" s="84" t="s">
        <v>315</v>
      </c>
      <c r="B5" s="85" t="s">
        <v>88</v>
      </c>
      <c r="C5" s="85" t="s">
        <v>15</v>
      </c>
      <c r="D5" s="87" t="s">
        <v>545</v>
      </c>
      <c r="E5" s="85" t="s">
        <v>33</v>
      </c>
      <c r="F5" s="5">
        <v>0</v>
      </c>
      <c r="G5" s="85" t="s">
        <v>34</v>
      </c>
      <c r="H5" s="86"/>
    </row>
    <row r="6" spans="1:8">
      <c r="A6" s="84" t="s">
        <v>316</v>
      </c>
      <c r="B6" s="85" t="s">
        <v>89</v>
      </c>
      <c r="C6" s="85" t="s">
        <v>15</v>
      </c>
      <c r="D6" s="86" t="s">
        <v>210</v>
      </c>
      <c r="E6" s="85" t="s">
        <v>211</v>
      </c>
      <c r="F6" s="5" t="s">
        <v>113</v>
      </c>
      <c r="G6" s="5" t="s">
        <v>572</v>
      </c>
      <c r="H6" s="86"/>
    </row>
    <row r="7" spans="1:8">
      <c r="A7" s="84" t="s">
        <v>317</v>
      </c>
      <c r="B7" s="85" t="s">
        <v>90</v>
      </c>
      <c r="C7" s="85" t="s">
        <v>15</v>
      </c>
      <c r="D7" s="85" t="s">
        <v>573</v>
      </c>
      <c r="E7" s="85" t="s">
        <v>37</v>
      </c>
      <c r="F7" s="5" t="s">
        <v>125</v>
      </c>
      <c r="G7" s="85" t="s">
        <v>574</v>
      </c>
      <c r="H7" s="86"/>
    </row>
    <row r="8" spans="1:8">
      <c r="A8" s="84" t="s">
        <v>318</v>
      </c>
      <c r="B8" s="85" t="s">
        <v>303</v>
      </c>
      <c r="C8" s="85" t="s">
        <v>15</v>
      </c>
      <c r="D8" s="85" t="s">
        <v>575</v>
      </c>
      <c r="E8" s="85" t="s">
        <v>16</v>
      </c>
      <c r="F8" s="5" t="s">
        <v>114</v>
      </c>
      <c r="G8" s="85" t="s">
        <v>576</v>
      </c>
      <c r="H8" s="86"/>
    </row>
    <row r="9" spans="1:8" s="8" customFormat="1">
      <c r="A9" s="84" t="s">
        <v>262</v>
      </c>
      <c r="B9" s="85" t="s">
        <v>322</v>
      </c>
      <c r="C9" s="85" t="s">
        <v>304</v>
      </c>
      <c r="D9" s="85" t="s">
        <v>577</v>
      </c>
      <c r="E9" s="85" t="s">
        <v>305</v>
      </c>
      <c r="F9" s="5" t="s">
        <v>309</v>
      </c>
      <c r="G9" s="85" t="s">
        <v>576</v>
      </c>
      <c r="H9" s="86"/>
    </row>
    <row r="10" spans="1:8" ht="25.2">
      <c r="A10" s="84" t="s">
        <v>263</v>
      </c>
      <c r="B10" s="85" t="s">
        <v>91</v>
      </c>
      <c r="C10" s="85" t="s">
        <v>15</v>
      </c>
      <c r="D10" s="86" t="s">
        <v>578</v>
      </c>
      <c r="E10" s="85" t="s">
        <v>16</v>
      </c>
      <c r="F10" s="5">
        <v>200</v>
      </c>
      <c r="G10" s="85" t="s">
        <v>35</v>
      </c>
      <c r="H10" s="86"/>
    </row>
    <row r="11" spans="1:8">
      <c r="A11" s="84" t="s">
        <v>264</v>
      </c>
      <c r="B11" s="85" t="s">
        <v>92</v>
      </c>
      <c r="C11" s="85" t="s">
        <v>15</v>
      </c>
      <c r="D11" s="85" t="s">
        <v>579</v>
      </c>
      <c r="E11" s="85" t="s">
        <v>38</v>
      </c>
      <c r="F11" s="5" t="s">
        <v>115</v>
      </c>
      <c r="G11" s="85" t="s">
        <v>35</v>
      </c>
      <c r="H11" s="86"/>
    </row>
    <row r="12" spans="1:8" ht="81" customHeight="1">
      <c r="A12" s="84" t="s">
        <v>319</v>
      </c>
      <c r="B12" s="85" t="s">
        <v>741</v>
      </c>
      <c r="C12" s="85" t="s">
        <v>145</v>
      </c>
      <c r="D12" s="85" t="s">
        <v>580</v>
      </c>
      <c r="E12" s="85" t="s">
        <v>146</v>
      </c>
      <c r="F12" s="5" t="s">
        <v>547</v>
      </c>
      <c r="G12" s="87" t="s">
        <v>548</v>
      </c>
      <c r="H12" s="86" t="s">
        <v>581</v>
      </c>
    </row>
    <row r="13" spans="1:8">
      <c r="A13" s="84" t="s">
        <v>266</v>
      </c>
      <c r="B13" s="85" t="s">
        <v>144</v>
      </c>
      <c r="C13" s="85" t="s">
        <v>130</v>
      </c>
      <c r="D13" s="85" t="s">
        <v>582</v>
      </c>
      <c r="E13" s="85" t="s">
        <v>31</v>
      </c>
      <c r="F13" s="5" t="s">
        <v>131</v>
      </c>
      <c r="G13" s="85" t="s">
        <v>583</v>
      </c>
      <c r="H13" s="86"/>
    </row>
    <row r="14" spans="1:8" s="8" customFormat="1" ht="26.4">
      <c r="A14" s="84" t="s">
        <v>267</v>
      </c>
      <c r="B14" s="85" t="s">
        <v>152</v>
      </c>
      <c r="C14" s="85" t="s">
        <v>153</v>
      </c>
      <c r="D14" s="86" t="s">
        <v>584</v>
      </c>
      <c r="E14" s="85" t="s">
        <v>154</v>
      </c>
      <c r="F14" s="5" t="s">
        <v>177</v>
      </c>
      <c r="G14" s="87" t="s">
        <v>337</v>
      </c>
      <c r="H14" s="86"/>
    </row>
    <row r="15" spans="1:8" s="3" customFormat="1">
      <c r="A15" s="84" t="s">
        <v>268</v>
      </c>
      <c r="B15" s="86" t="s">
        <v>311</v>
      </c>
      <c r="C15" s="85" t="s">
        <v>145</v>
      </c>
      <c r="D15" s="88" t="s">
        <v>226</v>
      </c>
      <c r="E15" s="86" t="s">
        <v>25</v>
      </c>
      <c r="F15" s="5" t="s">
        <v>121</v>
      </c>
      <c r="G15" s="20" t="s">
        <v>313</v>
      </c>
      <c r="H15" s="86"/>
    </row>
    <row r="16" spans="1:8" s="3" customFormat="1">
      <c r="A16" s="84" t="s">
        <v>269</v>
      </c>
      <c r="B16" s="86" t="s">
        <v>312</v>
      </c>
      <c r="C16" s="85" t="s">
        <v>145</v>
      </c>
      <c r="D16" s="88" t="s">
        <v>310</v>
      </c>
      <c r="E16" s="86" t="s">
        <v>1</v>
      </c>
      <c r="F16" s="5" t="s">
        <v>122</v>
      </c>
      <c r="G16" s="20" t="s">
        <v>313</v>
      </c>
      <c r="H16" s="86"/>
    </row>
  </sheetData>
  <protectedRanges>
    <protectedRange sqref="F2:H16" name="区域1"/>
  </protectedRanges>
  <phoneticPr fontId="9" type="noConversion"/>
  <pageMargins left="0.7" right="0.7" top="0.75" bottom="0.75" header="0.3" footer="0.3"/>
  <pageSetup paperSize="9" orientation="portrait" r:id="rId1"/>
  <ignoredErrors>
    <ignoredError sqref="F44 F6:F11 A2:A11 F13:F16 A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Normal="100" workbookViewId="0">
      <selection activeCell="F10" sqref="F10"/>
    </sheetView>
  </sheetViews>
  <sheetFormatPr defaultColWidth="9" defaultRowHeight="13.8"/>
  <cols>
    <col min="1" max="1" width="9" style="1"/>
    <col min="2" max="2" width="23.6640625" style="1" customWidth="1"/>
    <col min="3" max="3" width="8.44140625" style="1" bestFit="1" customWidth="1"/>
    <col min="4" max="4" width="52.88671875" style="1" bestFit="1" customWidth="1"/>
    <col min="5" max="5" width="6.44140625" style="1" bestFit="1" customWidth="1"/>
    <col min="6" max="6" width="11.44140625" style="9" bestFit="1" customWidth="1"/>
    <col min="7" max="7" width="15" style="1" bestFit="1" customWidth="1"/>
    <col min="8" max="8" width="26" style="10" customWidth="1"/>
    <col min="9" max="16384" width="9" style="1"/>
  </cols>
  <sheetData>
    <row r="1" spans="1:8">
      <c r="A1" s="83" t="s">
        <v>562</v>
      </c>
      <c r="B1" s="83" t="s">
        <v>206</v>
      </c>
      <c r="C1" s="83" t="s">
        <v>563</v>
      </c>
      <c r="D1" s="83" t="s">
        <v>564</v>
      </c>
      <c r="E1" s="83" t="s">
        <v>565</v>
      </c>
      <c r="F1" s="83" t="s">
        <v>207</v>
      </c>
      <c r="G1" s="83" t="s">
        <v>566</v>
      </c>
      <c r="H1" s="83" t="s">
        <v>567</v>
      </c>
    </row>
    <row r="2" spans="1:8" ht="36">
      <c r="A2" s="84" t="s">
        <v>734</v>
      </c>
      <c r="B2" s="85" t="s">
        <v>399</v>
      </c>
      <c r="C2" s="85" t="s">
        <v>18</v>
      </c>
      <c r="D2" s="88" t="s">
        <v>400</v>
      </c>
      <c r="E2" s="85" t="s">
        <v>14</v>
      </c>
      <c r="F2" s="5" t="s">
        <v>396</v>
      </c>
      <c r="G2" s="89" t="s">
        <v>374</v>
      </c>
      <c r="H2" s="86"/>
    </row>
    <row r="3" spans="1:8" ht="24">
      <c r="A3" s="84" t="s">
        <v>735</v>
      </c>
      <c r="B3" s="85" t="s">
        <v>395</v>
      </c>
      <c r="C3" s="85" t="s">
        <v>18</v>
      </c>
      <c r="D3" s="88" t="s">
        <v>401</v>
      </c>
      <c r="E3" s="85" t="s">
        <v>98</v>
      </c>
      <c r="F3" s="5" t="s">
        <v>397</v>
      </c>
      <c r="G3" s="89" t="s">
        <v>374</v>
      </c>
      <c r="H3" s="86"/>
    </row>
    <row r="4" spans="1:8">
      <c r="A4" s="84" t="s">
        <v>314</v>
      </c>
      <c r="B4" s="85" t="s">
        <v>27</v>
      </c>
      <c r="C4" s="85" t="s">
        <v>18</v>
      </c>
      <c r="D4" s="89" t="s">
        <v>231</v>
      </c>
      <c r="E4" s="85" t="s">
        <v>19</v>
      </c>
      <c r="F4" s="5" t="s">
        <v>415</v>
      </c>
      <c r="G4" s="85" t="s">
        <v>585</v>
      </c>
      <c r="H4" s="86"/>
    </row>
    <row r="5" spans="1:8">
      <c r="A5" s="84" t="s">
        <v>315</v>
      </c>
      <c r="B5" s="85" t="s">
        <v>95</v>
      </c>
      <c r="C5" s="85" t="s">
        <v>18</v>
      </c>
      <c r="D5" s="89" t="s">
        <v>233</v>
      </c>
      <c r="E5" s="85" t="s">
        <v>29</v>
      </c>
      <c r="F5" s="5" t="s">
        <v>116</v>
      </c>
      <c r="G5" s="85" t="s">
        <v>585</v>
      </c>
      <c r="H5" s="86"/>
    </row>
    <row r="6" spans="1:8">
      <c r="A6" s="84" t="s">
        <v>316</v>
      </c>
      <c r="B6" s="85" t="s">
        <v>181</v>
      </c>
      <c r="C6" s="85" t="s">
        <v>18</v>
      </c>
      <c r="D6" s="89" t="s">
        <v>229</v>
      </c>
      <c r="E6" s="85" t="s">
        <v>29</v>
      </c>
      <c r="F6" s="5" t="s">
        <v>430</v>
      </c>
      <c r="G6" s="85" t="s">
        <v>585</v>
      </c>
      <c r="H6" s="86"/>
    </row>
    <row r="7" spans="1:8">
      <c r="A7" s="84" t="s">
        <v>317</v>
      </c>
      <c r="B7" s="85" t="s">
        <v>93</v>
      </c>
      <c r="C7" s="85" t="s">
        <v>18</v>
      </c>
      <c r="D7" s="89" t="s">
        <v>234</v>
      </c>
      <c r="E7" s="85" t="s">
        <v>14</v>
      </c>
      <c r="F7" s="5" t="s">
        <v>360</v>
      </c>
      <c r="G7" s="85" t="s">
        <v>585</v>
      </c>
      <c r="H7" s="86"/>
    </row>
    <row r="8" spans="1:8">
      <c r="A8" s="84" t="s">
        <v>318</v>
      </c>
      <c r="B8" s="85" t="s">
        <v>26</v>
      </c>
      <c r="C8" s="85" t="s">
        <v>18</v>
      </c>
      <c r="D8" s="85" t="s">
        <v>586</v>
      </c>
      <c r="E8" s="85" t="s">
        <v>19</v>
      </c>
      <c r="F8" s="5">
        <v>80</v>
      </c>
      <c r="G8" s="85" t="s">
        <v>585</v>
      </c>
      <c r="H8" s="86"/>
    </row>
    <row r="9" spans="1:8">
      <c r="A9" s="84" t="s">
        <v>262</v>
      </c>
      <c r="B9" s="85" t="s">
        <v>39</v>
      </c>
      <c r="C9" s="85" t="s">
        <v>18</v>
      </c>
      <c r="D9" s="85" t="s">
        <v>587</v>
      </c>
      <c r="E9" s="85" t="s">
        <v>38</v>
      </c>
      <c r="F9" s="5" t="s">
        <v>117</v>
      </c>
      <c r="G9" s="85" t="s">
        <v>588</v>
      </c>
      <c r="H9" s="86"/>
    </row>
    <row r="10" spans="1:8">
      <c r="A10" s="84" t="s">
        <v>263</v>
      </c>
      <c r="B10" s="85" t="s">
        <v>68</v>
      </c>
      <c r="C10" s="85" t="s">
        <v>18</v>
      </c>
      <c r="D10" s="85" t="s">
        <v>589</v>
      </c>
      <c r="E10" s="85" t="s">
        <v>14</v>
      </c>
      <c r="F10" s="5">
        <v>0.3</v>
      </c>
      <c r="G10" s="85" t="s">
        <v>585</v>
      </c>
      <c r="H10" s="86"/>
    </row>
    <row r="11" spans="1:8" s="8" customFormat="1">
      <c r="A11" s="84" t="s">
        <v>264</v>
      </c>
      <c r="B11" s="85" t="s">
        <v>194</v>
      </c>
      <c r="C11" s="85" t="s">
        <v>132</v>
      </c>
      <c r="D11" s="85" t="s">
        <v>590</v>
      </c>
      <c r="E11" s="85" t="s">
        <v>30</v>
      </c>
      <c r="F11" s="5" t="s">
        <v>141</v>
      </c>
      <c r="G11" s="85" t="s">
        <v>591</v>
      </c>
      <c r="H11" s="86"/>
    </row>
    <row r="12" spans="1:8" s="8" customFormat="1">
      <c r="A12" s="84" t="s">
        <v>265</v>
      </c>
      <c r="B12" s="85" t="s">
        <v>135</v>
      </c>
      <c r="C12" s="85" t="s">
        <v>132</v>
      </c>
      <c r="D12" s="85" t="s">
        <v>592</v>
      </c>
      <c r="E12" s="85" t="s">
        <v>30</v>
      </c>
      <c r="F12" s="5" t="s">
        <v>142</v>
      </c>
      <c r="G12" s="85" t="s">
        <v>591</v>
      </c>
      <c r="H12" s="86"/>
    </row>
    <row r="13" spans="1:8" s="8" customFormat="1">
      <c r="A13" s="84" t="s">
        <v>319</v>
      </c>
      <c r="B13" s="85" t="s">
        <v>200</v>
      </c>
      <c r="C13" s="85" t="s">
        <v>132</v>
      </c>
      <c r="D13" s="86" t="s">
        <v>593</v>
      </c>
      <c r="E13" s="85" t="s">
        <v>134</v>
      </c>
      <c r="F13" s="5" t="s">
        <v>197</v>
      </c>
      <c r="G13" s="85" t="s">
        <v>591</v>
      </c>
      <c r="H13" s="86"/>
    </row>
    <row r="14" spans="1:8" s="8" customFormat="1">
      <c r="A14" s="84" t="s">
        <v>266</v>
      </c>
      <c r="B14" s="85" t="s">
        <v>136</v>
      </c>
      <c r="C14" s="85" t="s">
        <v>137</v>
      </c>
      <c r="D14" s="85" t="s">
        <v>594</v>
      </c>
      <c r="E14" s="85" t="s">
        <v>134</v>
      </c>
      <c r="F14" s="5" t="s">
        <v>138</v>
      </c>
      <c r="G14" s="85" t="s">
        <v>591</v>
      </c>
      <c r="H14" s="86"/>
    </row>
    <row r="15" spans="1:8" s="8" customFormat="1" ht="24">
      <c r="A15" s="84" t="s">
        <v>267</v>
      </c>
      <c r="B15" s="85" t="s">
        <v>195</v>
      </c>
      <c r="C15" s="85" t="s">
        <v>137</v>
      </c>
      <c r="D15" s="90" t="s">
        <v>230</v>
      </c>
      <c r="E15" s="85" t="s">
        <v>134</v>
      </c>
      <c r="F15" s="5" t="s">
        <v>138</v>
      </c>
      <c r="G15" s="85" t="s">
        <v>591</v>
      </c>
      <c r="H15" s="86"/>
    </row>
    <row r="16" spans="1:8" s="8" customFormat="1">
      <c r="A16" s="84" t="s">
        <v>268</v>
      </c>
      <c r="B16" s="85" t="s">
        <v>198</v>
      </c>
      <c r="C16" s="85" t="s">
        <v>132</v>
      </c>
      <c r="D16" s="86" t="s">
        <v>595</v>
      </c>
      <c r="E16" s="85" t="s">
        <v>134</v>
      </c>
      <c r="F16" s="5" t="s">
        <v>197</v>
      </c>
      <c r="G16" s="85" t="s">
        <v>591</v>
      </c>
      <c r="H16" s="86"/>
    </row>
    <row r="17" spans="1:8" ht="26.4">
      <c r="A17" s="84" t="s">
        <v>269</v>
      </c>
      <c r="B17" s="85" t="s">
        <v>259</v>
      </c>
      <c r="C17" s="85" t="s">
        <v>132</v>
      </c>
      <c r="D17" s="86" t="s">
        <v>596</v>
      </c>
      <c r="E17" s="86" t="s">
        <v>31</v>
      </c>
      <c r="F17" s="5" t="s">
        <v>202</v>
      </c>
      <c r="G17" s="89" t="s">
        <v>374</v>
      </c>
      <c r="H17" s="86"/>
    </row>
    <row r="18" spans="1:8">
      <c r="A18" s="84" t="s">
        <v>270</v>
      </c>
      <c r="B18" s="85" t="s">
        <v>293</v>
      </c>
      <c r="C18" s="85" t="s">
        <v>132</v>
      </c>
      <c r="D18" s="85" t="s">
        <v>597</v>
      </c>
      <c r="E18" s="85" t="s">
        <v>19</v>
      </c>
      <c r="F18" s="5" t="s">
        <v>162</v>
      </c>
      <c r="G18" s="89" t="s">
        <v>297</v>
      </c>
      <c r="H18" s="86"/>
    </row>
    <row r="19" spans="1:8">
      <c r="A19" s="84" t="s">
        <v>271</v>
      </c>
      <c r="B19" s="85" t="s">
        <v>294</v>
      </c>
      <c r="C19" s="85" t="s">
        <v>132</v>
      </c>
      <c r="D19" s="85" t="s">
        <v>598</v>
      </c>
      <c r="E19" s="85" t="s">
        <v>19</v>
      </c>
      <c r="F19" s="5">
        <v>5</v>
      </c>
      <c r="G19" s="89" t="s">
        <v>297</v>
      </c>
      <c r="H19" s="86"/>
    </row>
    <row r="20" spans="1:8">
      <c r="A20" s="84" t="s">
        <v>272</v>
      </c>
      <c r="B20" s="85" t="s">
        <v>295</v>
      </c>
      <c r="C20" s="85" t="s">
        <v>132</v>
      </c>
      <c r="D20" s="85" t="s">
        <v>599</v>
      </c>
      <c r="E20" s="85" t="s">
        <v>127</v>
      </c>
      <c r="F20" s="5" t="s">
        <v>161</v>
      </c>
      <c r="G20" s="89" t="s">
        <v>297</v>
      </c>
      <c r="H20" s="86"/>
    </row>
    <row r="21" spans="1:8">
      <c r="A21" s="84" t="s">
        <v>273</v>
      </c>
      <c r="B21" s="85" t="s">
        <v>296</v>
      </c>
      <c r="C21" s="85" t="s">
        <v>132</v>
      </c>
      <c r="D21" s="87" t="s">
        <v>232</v>
      </c>
      <c r="E21" s="85" t="s">
        <v>14</v>
      </c>
      <c r="F21" s="5">
        <v>5</v>
      </c>
      <c r="G21" s="89" t="s">
        <v>297</v>
      </c>
      <c r="H21" s="86"/>
    </row>
    <row r="22" spans="1:8">
      <c r="A22" s="84" t="s">
        <v>274</v>
      </c>
      <c r="B22" s="85" t="s">
        <v>285</v>
      </c>
      <c r="C22" s="85" t="s">
        <v>132</v>
      </c>
      <c r="D22" s="86" t="s">
        <v>600</v>
      </c>
      <c r="E22" s="86" t="s">
        <v>140</v>
      </c>
      <c r="F22" s="5" t="s">
        <v>147</v>
      </c>
      <c r="G22" s="89" t="s">
        <v>254</v>
      </c>
      <c r="H22" s="86"/>
    </row>
    <row r="23" spans="1:8">
      <c r="A23" s="84" t="s">
        <v>275</v>
      </c>
      <c r="B23" s="85" t="s">
        <v>286</v>
      </c>
      <c r="C23" s="85" t="s">
        <v>132</v>
      </c>
      <c r="D23" s="86" t="s">
        <v>601</v>
      </c>
      <c r="E23" s="86" t="s">
        <v>25</v>
      </c>
      <c r="F23" s="5" t="s">
        <v>147</v>
      </c>
      <c r="G23" s="89" t="s">
        <v>254</v>
      </c>
      <c r="H23" s="86"/>
    </row>
    <row r="24" spans="1:8">
      <c r="A24" s="84" t="s">
        <v>276</v>
      </c>
      <c r="B24" s="85" t="s">
        <v>287</v>
      </c>
      <c r="C24" s="85" t="s">
        <v>132</v>
      </c>
      <c r="D24" s="86" t="s">
        <v>602</v>
      </c>
      <c r="E24" s="86" t="s">
        <v>25</v>
      </c>
      <c r="F24" s="5" t="s">
        <v>147</v>
      </c>
      <c r="G24" s="89" t="s">
        <v>254</v>
      </c>
      <c r="H24" s="86"/>
    </row>
    <row r="25" spans="1:8">
      <c r="A25" s="84" t="s">
        <v>277</v>
      </c>
      <c r="B25" s="85" t="s">
        <v>288</v>
      </c>
      <c r="C25" s="85" t="s">
        <v>132</v>
      </c>
      <c r="D25" s="86" t="s">
        <v>603</v>
      </c>
      <c r="E25" s="86" t="s">
        <v>25</v>
      </c>
      <c r="F25" s="5" t="s">
        <v>147</v>
      </c>
      <c r="G25" s="89" t="s">
        <v>254</v>
      </c>
      <c r="H25" s="86"/>
    </row>
    <row r="26" spans="1:8">
      <c r="A26" s="84" t="s">
        <v>278</v>
      </c>
      <c r="B26" s="85" t="s">
        <v>289</v>
      </c>
      <c r="C26" s="85" t="s">
        <v>132</v>
      </c>
      <c r="D26" s="86" t="s">
        <v>604</v>
      </c>
      <c r="E26" s="86" t="s">
        <v>25</v>
      </c>
      <c r="F26" s="5" t="s">
        <v>147</v>
      </c>
      <c r="G26" s="89" t="s">
        <v>254</v>
      </c>
      <c r="H26" s="86"/>
    </row>
    <row r="27" spans="1:8">
      <c r="A27" s="84" t="s">
        <v>279</v>
      </c>
      <c r="B27" s="85" t="s">
        <v>290</v>
      </c>
      <c r="C27" s="85" t="s">
        <v>132</v>
      </c>
      <c r="D27" s="86" t="s">
        <v>605</v>
      </c>
      <c r="E27" s="86" t="s">
        <v>25</v>
      </c>
      <c r="F27" s="5" t="s">
        <v>147</v>
      </c>
      <c r="G27" s="89" t="s">
        <v>254</v>
      </c>
      <c r="H27" s="86"/>
    </row>
    <row r="28" spans="1:8">
      <c r="A28" s="84" t="s">
        <v>280</v>
      </c>
      <c r="B28" s="85" t="s">
        <v>291</v>
      </c>
      <c r="C28" s="85" t="s">
        <v>132</v>
      </c>
      <c r="D28" s="86" t="s">
        <v>606</v>
      </c>
      <c r="E28" s="86" t="s">
        <v>25</v>
      </c>
      <c r="F28" s="5" t="s">
        <v>147</v>
      </c>
      <c r="G28" s="89" t="s">
        <v>254</v>
      </c>
      <c r="H28" s="86"/>
    </row>
    <row r="29" spans="1:8">
      <c r="A29" s="84" t="s">
        <v>281</v>
      </c>
      <c r="B29" s="85" t="s">
        <v>292</v>
      </c>
      <c r="C29" s="85" t="s">
        <v>132</v>
      </c>
      <c r="D29" s="86" t="s">
        <v>607</v>
      </c>
      <c r="E29" s="86" t="s">
        <v>25</v>
      </c>
      <c r="F29" s="5" t="s">
        <v>147</v>
      </c>
      <c r="G29" s="89" t="s">
        <v>254</v>
      </c>
      <c r="H29" s="86"/>
    </row>
    <row r="30" spans="1:8" ht="51.6">
      <c r="A30" s="84" t="s">
        <v>282</v>
      </c>
      <c r="B30" s="85" t="s">
        <v>283</v>
      </c>
      <c r="C30" s="85" t="s">
        <v>132</v>
      </c>
      <c r="D30" s="86" t="s">
        <v>608</v>
      </c>
      <c r="E30" s="85" t="s">
        <v>609</v>
      </c>
      <c r="F30" s="5" t="s">
        <v>212</v>
      </c>
      <c r="G30" s="87" t="s">
        <v>284</v>
      </c>
      <c r="H30" s="86"/>
    </row>
    <row r="31" spans="1:8" ht="66">
      <c r="A31" s="84" t="s">
        <v>298</v>
      </c>
      <c r="B31" s="85" t="s">
        <v>328</v>
      </c>
      <c r="C31" s="85" t="s">
        <v>132</v>
      </c>
      <c r="D31" s="86" t="s">
        <v>610</v>
      </c>
      <c r="E31" s="86" t="s">
        <v>609</v>
      </c>
      <c r="F31" s="5" t="s">
        <v>205</v>
      </c>
      <c r="G31" s="87" t="s">
        <v>327</v>
      </c>
      <c r="H31" s="86"/>
    </row>
  </sheetData>
  <protectedRanges>
    <protectedRange sqref="F2:H31" name="区域1"/>
  </protectedRanges>
  <phoneticPr fontId="1" type="noConversion"/>
  <dataValidations disablePrompts="1" count="2">
    <dataValidation type="list" allowBlank="1" showInputMessage="1" showErrorMessage="1" sqref="F31">
      <formula1>"true,false"</formula1>
    </dataValidation>
    <dataValidation type="list" allowBlank="1" showInputMessage="1" showErrorMessage="1" sqref="F30">
      <formula1>"Type_Beacon,Type_Loop,Type_Both"</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34"/>
  <sheetViews>
    <sheetView topLeftCell="B1" workbookViewId="0">
      <selection activeCell="B1" sqref="B1"/>
    </sheetView>
  </sheetViews>
  <sheetFormatPr defaultColWidth="9" defaultRowHeight="14.4"/>
  <cols>
    <col min="1" max="1" width="9" style="96"/>
    <col min="2" max="2" width="20.44140625" style="96" bestFit="1" customWidth="1"/>
    <col min="3" max="3" width="52.88671875" style="96" bestFit="1" customWidth="1"/>
    <col min="4" max="5" width="9" style="96"/>
    <col min="6" max="6" width="69.44140625" style="96" bestFit="1" customWidth="1"/>
    <col min="7" max="16384" width="9" style="96"/>
  </cols>
  <sheetData>
    <row r="1" spans="1:6" s="92" customFormat="1" ht="13.8">
      <c r="A1" s="83" t="s">
        <v>562</v>
      </c>
      <c r="B1" s="91" t="s">
        <v>745</v>
      </c>
      <c r="C1" s="83" t="s">
        <v>611</v>
      </c>
      <c r="D1" s="83" t="s">
        <v>612</v>
      </c>
      <c r="E1" s="83" t="s">
        <v>207</v>
      </c>
      <c r="F1" s="91" t="s">
        <v>302</v>
      </c>
    </row>
    <row r="2" spans="1:6" s="92" customFormat="1" ht="13.8">
      <c r="A2" s="84" t="s">
        <v>260</v>
      </c>
      <c r="B2" s="85" t="s">
        <v>24</v>
      </c>
      <c r="C2" s="85" t="s">
        <v>613</v>
      </c>
      <c r="D2" s="85" t="s">
        <v>14</v>
      </c>
      <c r="E2" s="5">
        <v>10</v>
      </c>
      <c r="F2" s="5" t="s">
        <v>330</v>
      </c>
    </row>
    <row r="3" spans="1:6" s="92" customFormat="1" ht="13.8">
      <c r="A3" s="84" t="s">
        <v>261</v>
      </c>
      <c r="B3" s="85" t="s">
        <v>28</v>
      </c>
      <c r="C3" s="85" t="s">
        <v>614</v>
      </c>
      <c r="D3" s="85" t="s">
        <v>14</v>
      </c>
      <c r="E3" s="5" t="s">
        <v>118</v>
      </c>
      <c r="F3" s="20" t="s">
        <v>329</v>
      </c>
    </row>
    <row r="4" spans="1:6" s="93" customFormat="1" ht="13.8">
      <c r="A4" s="84" t="s">
        <v>314</v>
      </c>
      <c r="B4" s="85" t="s">
        <v>307</v>
      </c>
      <c r="C4" s="87" t="s">
        <v>242</v>
      </c>
      <c r="D4" s="85" t="s">
        <v>239</v>
      </c>
      <c r="E4" s="5" t="s">
        <v>240</v>
      </c>
      <c r="F4" s="89" t="s">
        <v>329</v>
      </c>
    </row>
    <row r="5" spans="1:6" s="92" customFormat="1" ht="13.8">
      <c r="A5" s="84" t="s">
        <v>315</v>
      </c>
      <c r="B5" s="5" t="s">
        <v>94</v>
      </c>
      <c r="C5" s="86" t="s">
        <v>615</v>
      </c>
      <c r="D5" s="5" t="s">
        <v>30</v>
      </c>
      <c r="E5" s="5">
        <v>5</v>
      </c>
      <c r="F5" s="20" t="s">
        <v>329</v>
      </c>
    </row>
    <row r="6" spans="1:6" s="92" customFormat="1" ht="13.8">
      <c r="A6" s="84" t="s">
        <v>316</v>
      </c>
      <c r="B6" s="85" t="s">
        <v>97</v>
      </c>
      <c r="C6" s="85" t="s">
        <v>616</v>
      </c>
      <c r="D6" s="85" t="s">
        <v>16</v>
      </c>
      <c r="E6" s="5">
        <v>500</v>
      </c>
      <c r="F6" s="20" t="s">
        <v>329</v>
      </c>
    </row>
    <row r="7" spans="1:6" s="92" customFormat="1" ht="13.8">
      <c r="A7" s="84" t="s">
        <v>317</v>
      </c>
      <c r="B7" s="85" t="s">
        <v>20</v>
      </c>
      <c r="C7" s="85" t="s">
        <v>617</v>
      </c>
      <c r="D7" s="85" t="s">
        <v>16</v>
      </c>
      <c r="E7" s="5">
        <v>500</v>
      </c>
      <c r="F7" s="20" t="s">
        <v>329</v>
      </c>
    </row>
    <row r="8" spans="1:6" s="92" customFormat="1" ht="13.8">
      <c r="A8" s="84" t="s">
        <v>318</v>
      </c>
      <c r="B8" s="85" t="s">
        <v>21</v>
      </c>
      <c r="C8" s="85" t="s">
        <v>618</v>
      </c>
      <c r="D8" s="85" t="s">
        <v>16</v>
      </c>
      <c r="E8" s="5">
        <v>150</v>
      </c>
      <c r="F8" s="20" t="s">
        <v>329</v>
      </c>
    </row>
    <row r="9" spans="1:6" s="92" customFormat="1" ht="13.8">
      <c r="A9" s="84" t="s">
        <v>262</v>
      </c>
      <c r="B9" s="85" t="s">
        <v>160</v>
      </c>
      <c r="C9" s="85" t="s">
        <v>619</v>
      </c>
      <c r="D9" s="85" t="s">
        <v>16</v>
      </c>
      <c r="E9" s="5">
        <v>500</v>
      </c>
      <c r="F9" s="5" t="s">
        <v>331</v>
      </c>
    </row>
    <row r="10" spans="1:6" s="92" customFormat="1" ht="13.8">
      <c r="A10" s="84" t="s">
        <v>263</v>
      </c>
      <c r="B10" s="85" t="s">
        <v>246</v>
      </c>
      <c r="C10" s="85" t="s">
        <v>620</v>
      </c>
      <c r="D10" s="85" t="s">
        <v>16</v>
      </c>
      <c r="E10" s="5" t="s">
        <v>426</v>
      </c>
      <c r="F10" s="5" t="s">
        <v>331</v>
      </c>
    </row>
    <row r="11" spans="1:6" s="92" customFormat="1" ht="13.8">
      <c r="A11" s="84" t="s">
        <v>264</v>
      </c>
      <c r="B11" s="85" t="s">
        <v>247</v>
      </c>
      <c r="C11" s="85" t="s">
        <v>621</v>
      </c>
      <c r="D11" s="85" t="s">
        <v>16</v>
      </c>
      <c r="E11" s="5" t="s">
        <v>425</v>
      </c>
      <c r="F11" s="5" t="s">
        <v>331</v>
      </c>
    </row>
    <row r="12" spans="1:6" s="92" customFormat="1" ht="13.8">
      <c r="A12" s="84" t="s">
        <v>265</v>
      </c>
      <c r="B12" s="85" t="s">
        <v>248</v>
      </c>
      <c r="C12" s="85" t="s">
        <v>622</v>
      </c>
      <c r="D12" s="85" t="s">
        <v>16</v>
      </c>
      <c r="E12" s="5" t="s">
        <v>425</v>
      </c>
      <c r="F12" s="5" t="s">
        <v>331</v>
      </c>
    </row>
    <row r="13" spans="1:6" s="92" customFormat="1" ht="13.8">
      <c r="A13" s="84" t="s">
        <v>319</v>
      </c>
      <c r="B13" s="85" t="s">
        <v>249</v>
      </c>
      <c r="C13" s="85" t="s">
        <v>623</v>
      </c>
      <c r="D13" s="85" t="s">
        <v>16</v>
      </c>
      <c r="E13" s="5" t="s">
        <v>549</v>
      </c>
      <c r="F13" s="5" t="s">
        <v>331</v>
      </c>
    </row>
    <row r="14" spans="1:6" s="92" customFormat="1" ht="13.8">
      <c r="A14" s="84" t="s">
        <v>266</v>
      </c>
      <c r="B14" s="85" t="s">
        <v>250</v>
      </c>
      <c r="C14" s="85" t="s">
        <v>624</v>
      </c>
      <c r="D14" s="85" t="s">
        <v>16</v>
      </c>
      <c r="E14" s="5" t="s">
        <v>550</v>
      </c>
      <c r="F14" s="5" t="s">
        <v>331</v>
      </c>
    </row>
    <row r="15" spans="1:6" s="92" customFormat="1" ht="26.4">
      <c r="A15" s="84" t="s">
        <v>267</v>
      </c>
      <c r="B15" s="85" t="s">
        <v>551</v>
      </c>
      <c r="C15" s="85" t="s">
        <v>625</v>
      </c>
      <c r="D15" s="85" t="s">
        <v>16</v>
      </c>
      <c r="E15" s="5" t="s">
        <v>536</v>
      </c>
      <c r="F15" s="78" t="s">
        <v>626</v>
      </c>
    </row>
    <row r="16" spans="1:6" s="92" customFormat="1" ht="13.8">
      <c r="A16" s="84" t="s">
        <v>268</v>
      </c>
      <c r="B16" s="85" t="s">
        <v>251</v>
      </c>
      <c r="C16" s="85" t="s">
        <v>627</v>
      </c>
      <c r="D16" s="85" t="s">
        <v>16</v>
      </c>
      <c r="E16" s="5" t="s">
        <v>549</v>
      </c>
      <c r="F16" s="5" t="s">
        <v>331</v>
      </c>
    </row>
    <row r="17" spans="1:6" s="92" customFormat="1" ht="13.8">
      <c r="A17" s="84" t="s">
        <v>269</v>
      </c>
      <c r="B17" s="85" t="s">
        <v>552</v>
      </c>
      <c r="C17" s="85" t="s">
        <v>628</v>
      </c>
      <c r="D17" s="85" t="s">
        <v>16</v>
      </c>
      <c r="E17" s="5" t="s">
        <v>425</v>
      </c>
      <c r="F17" s="5" t="s">
        <v>331</v>
      </c>
    </row>
    <row r="18" spans="1:6" s="92" customFormat="1" ht="13.8">
      <c r="A18" s="84" t="s">
        <v>270</v>
      </c>
      <c r="B18" s="85" t="s">
        <v>245</v>
      </c>
      <c r="C18" s="85" t="s">
        <v>629</v>
      </c>
      <c r="D18" s="85" t="s">
        <v>16</v>
      </c>
      <c r="E18" s="5" t="s">
        <v>425</v>
      </c>
      <c r="F18" s="5" t="s">
        <v>331</v>
      </c>
    </row>
    <row r="19" spans="1:6" s="92" customFormat="1" ht="13.8">
      <c r="A19" s="84" t="s">
        <v>271</v>
      </c>
      <c r="B19" s="85" t="s">
        <v>252</v>
      </c>
      <c r="C19" s="85" t="s">
        <v>630</v>
      </c>
      <c r="D19" s="85" t="s">
        <v>16</v>
      </c>
      <c r="E19" s="5" t="s">
        <v>425</v>
      </c>
      <c r="F19" s="5" t="s">
        <v>331</v>
      </c>
    </row>
    <row r="20" spans="1:6" s="92" customFormat="1" ht="13.8">
      <c r="A20" s="84" t="s">
        <v>272</v>
      </c>
      <c r="B20" s="85" t="s">
        <v>253</v>
      </c>
      <c r="C20" s="85" t="s">
        <v>631</v>
      </c>
      <c r="D20" s="85" t="s">
        <v>16</v>
      </c>
      <c r="E20" s="5" t="s">
        <v>425</v>
      </c>
      <c r="F20" s="5" t="s">
        <v>331</v>
      </c>
    </row>
    <row r="21" spans="1:6" s="92" customFormat="1" ht="13.8">
      <c r="A21" s="84" t="s">
        <v>273</v>
      </c>
      <c r="B21" s="85" t="s">
        <v>22</v>
      </c>
      <c r="C21" s="85" t="s">
        <v>632</v>
      </c>
      <c r="D21" s="85" t="s">
        <v>16</v>
      </c>
      <c r="E21" s="5" t="s">
        <v>119</v>
      </c>
      <c r="F21" s="5" t="s">
        <v>331</v>
      </c>
    </row>
    <row r="22" spans="1:6" s="92" customFormat="1" ht="13.8">
      <c r="A22" s="84" t="s">
        <v>274</v>
      </c>
      <c r="B22" s="85" t="s">
        <v>23</v>
      </c>
      <c r="C22" s="85" t="s">
        <v>633</v>
      </c>
      <c r="D22" s="85" t="s">
        <v>16</v>
      </c>
      <c r="E22" s="5" t="s">
        <v>120</v>
      </c>
      <c r="F22" s="5" t="s">
        <v>331</v>
      </c>
    </row>
    <row r="23" spans="1:6" s="94" customFormat="1" ht="26.4">
      <c r="A23" s="84" t="s">
        <v>275</v>
      </c>
      <c r="B23" s="85" t="s">
        <v>380</v>
      </c>
      <c r="C23" s="86" t="s">
        <v>634</v>
      </c>
      <c r="D23" s="85" t="s">
        <v>16</v>
      </c>
      <c r="E23" s="5">
        <f>Conf_BiccCycle+2+25</f>
        <v>177</v>
      </c>
      <c r="F23" s="5" t="s">
        <v>391</v>
      </c>
    </row>
    <row r="24" spans="1:6" s="94" customFormat="1">
      <c r="A24" s="84" t="s">
        <v>276</v>
      </c>
      <c r="B24" s="85" t="s">
        <v>381</v>
      </c>
      <c r="C24" s="85" t="s">
        <v>635</v>
      </c>
      <c r="D24" s="85" t="s">
        <v>16</v>
      </c>
      <c r="E24" s="5">
        <f>2*Conf_BiccCycle+130</f>
        <v>430</v>
      </c>
      <c r="F24" s="5" t="s">
        <v>378</v>
      </c>
    </row>
    <row r="25" spans="1:6" s="94" customFormat="1">
      <c r="A25" s="84" t="s">
        <v>277</v>
      </c>
      <c r="B25" s="85" t="s">
        <v>382</v>
      </c>
      <c r="C25" s="85" t="s">
        <v>636</v>
      </c>
      <c r="D25" s="85" t="s">
        <v>16</v>
      </c>
      <c r="E25" s="5">
        <f>Conf_BiccCycle+100</f>
        <v>250</v>
      </c>
      <c r="F25" s="5" t="s">
        <v>390</v>
      </c>
    </row>
    <row r="26" spans="1:6" s="94" customFormat="1">
      <c r="A26" s="84" t="s">
        <v>278</v>
      </c>
      <c r="B26" s="85" t="s">
        <v>383</v>
      </c>
      <c r="C26" s="85" t="s">
        <v>637</v>
      </c>
      <c r="D26" s="85" t="s">
        <v>16</v>
      </c>
      <c r="E26" s="5">
        <f>2*Conf_BiccCycle+100</f>
        <v>400</v>
      </c>
      <c r="F26" s="5" t="s">
        <v>390</v>
      </c>
    </row>
    <row r="27" spans="1:6" s="94" customFormat="1">
      <c r="A27" s="84" t="s">
        <v>279</v>
      </c>
      <c r="B27" s="85" t="s">
        <v>384</v>
      </c>
      <c r="C27" s="85" t="s">
        <v>638</v>
      </c>
      <c r="D27" s="85" t="s">
        <v>16</v>
      </c>
      <c r="E27" s="5">
        <f>Conf_BizcCycle+100</f>
        <v>600</v>
      </c>
      <c r="F27" s="5" t="s">
        <v>390</v>
      </c>
    </row>
    <row r="28" spans="1:6" s="94" customFormat="1">
      <c r="A28" s="84" t="s">
        <v>280</v>
      </c>
      <c r="B28" s="85" t="s">
        <v>385</v>
      </c>
      <c r="C28" s="85" t="s">
        <v>639</v>
      </c>
      <c r="D28" s="85" t="s">
        <v>16</v>
      </c>
      <c r="E28" s="5">
        <f>Conf_BizcCycle*2+100</f>
        <v>1100</v>
      </c>
      <c r="F28" s="5" t="s">
        <v>390</v>
      </c>
    </row>
    <row r="29" spans="1:6" s="94" customFormat="1">
      <c r="A29" s="84" t="s">
        <v>281</v>
      </c>
      <c r="B29" s="85" t="s">
        <v>386</v>
      </c>
      <c r="C29" s="85" t="s">
        <v>640</v>
      </c>
      <c r="D29" s="85" t="s">
        <v>16</v>
      </c>
      <c r="E29" s="5">
        <f>Conf_BilockCycle+2+25+60</f>
        <v>587</v>
      </c>
      <c r="F29" s="5" t="s">
        <v>391</v>
      </c>
    </row>
    <row r="30" spans="1:6" s="94" customFormat="1">
      <c r="A30" s="84" t="s">
        <v>282</v>
      </c>
      <c r="B30" s="85" t="s">
        <v>387</v>
      </c>
      <c r="C30" s="85" t="s">
        <v>641</v>
      </c>
      <c r="D30" s="85" t="s">
        <v>16</v>
      </c>
      <c r="E30" s="5">
        <f>Conf_BilockCycle*2+130</f>
        <v>1130</v>
      </c>
      <c r="F30" s="5" t="s">
        <v>378</v>
      </c>
    </row>
    <row r="31" spans="1:6" s="94" customFormat="1">
      <c r="A31" s="84" t="s">
        <v>298</v>
      </c>
      <c r="B31" s="85" t="s">
        <v>388</v>
      </c>
      <c r="C31" s="85" t="s">
        <v>642</v>
      </c>
      <c r="D31" s="85" t="s">
        <v>16</v>
      </c>
      <c r="E31" s="5">
        <f>Conf_BilockCycle+100</f>
        <v>600</v>
      </c>
      <c r="F31" s="5" t="s">
        <v>390</v>
      </c>
    </row>
    <row r="32" spans="1:6" s="94" customFormat="1">
      <c r="A32" s="84" t="s">
        <v>299</v>
      </c>
      <c r="B32" s="85" t="s">
        <v>389</v>
      </c>
      <c r="C32" s="85" t="s">
        <v>643</v>
      </c>
      <c r="D32" s="85" t="s">
        <v>16</v>
      </c>
      <c r="E32" s="5">
        <f>Conf_BilockCycle*2+100</f>
        <v>1100</v>
      </c>
      <c r="F32" s="5" t="s">
        <v>390</v>
      </c>
    </row>
    <row r="33" spans="1:6" s="94" customFormat="1">
      <c r="A33" s="84" t="s">
        <v>300</v>
      </c>
      <c r="B33" s="85" t="s">
        <v>306</v>
      </c>
      <c r="C33" s="85" t="s">
        <v>644</v>
      </c>
      <c r="D33" s="85" t="s">
        <v>16</v>
      </c>
      <c r="E33" s="5">
        <f>Conf_BiccCycle</f>
        <v>150</v>
      </c>
      <c r="F33" s="5" t="s">
        <v>379</v>
      </c>
    </row>
    <row r="34" spans="1:6" s="95" customFormat="1" ht="13.8">
      <c r="A34" s="84" t="s">
        <v>301</v>
      </c>
      <c r="B34" s="85" t="s">
        <v>320</v>
      </c>
      <c r="C34" s="87" t="s">
        <v>493</v>
      </c>
      <c r="D34" s="85" t="s">
        <v>16</v>
      </c>
      <c r="E34" s="5">
        <f>1000</f>
        <v>1000</v>
      </c>
      <c r="F34" s="5" t="s">
        <v>379</v>
      </c>
    </row>
  </sheetData>
  <protectedRanges>
    <protectedRange sqref="E2:F34" name="区域1"/>
  </protectedRanges>
  <phoneticPr fontId="1" type="noConversion"/>
  <pageMargins left="0.7" right="0.7" top="0.75" bottom="0.75" header="0.3" footer="0.3"/>
  <pageSetup paperSize="9" orientation="portrait" r:id="rId1"/>
  <ignoredErrors>
    <ignoredError sqref="E3:E9 A2:A22 A23:A34 E21:E22 E10:E12 E18:E2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J48"/>
  <sheetViews>
    <sheetView workbookViewId="0">
      <selection activeCell="B4" sqref="B4"/>
    </sheetView>
  </sheetViews>
  <sheetFormatPr defaultColWidth="9" defaultRowHeight="13.2"/>
  <cols>
    <col min="1" max="1" width="6" style="97" bestFit="1" customWidth="1"/>
    <col min="2" max="2" width="35.88671875" style="97" bestFit="1" customWidth="1"/>
    <col min="3" max="3" width="43.88671875" style="97" customWidth="1"/>
    <col min="4" max="4" width="5.109375" style="97" bestFit="1" customWidth="1"/>
    <col min="5" max="5" width="12.33203125" style="106" bestFit="1" customWidth="1"/>
    <col min="6" max="6" width="11.44140625" style="97" bestFit="1" customWidth="1"/>
    <col min="7" max="7" width="9.44140625" style="97" bestFit="1" customWidth="1"/>
    <col min="8" max="9" width="9" style="97"/>
    <col min="10" max="10" width="29.33203125" style="97" customWidth="1"/>
    <col min="11" max="16384" width="9" style="97"/>
  </cols>
  <sheetData>
    <row r="1" spans="1:10" ht="12.75" customHeight="1">
      <c r="A1" s="137" t="s">
        <v>645</v>
      </c>
      <c r="B1" s="135" t="s">
        <v>745</v>
      </c>
      <c r="C1" s="137" t="s">
        <v>647</v>
      </c>
      <c r="D1" s="137" t="s">
        <v>648</v>
      </c>
      <c r="E1" s="6" t="s">
        <v>334</v>
      </c>
      <c r="F1" s="19" t="s">
        <v>335</v>
      </c>
      <c r="G1" s="19" t="s">
        <v>336</v>
      </c>
      <c r="H1" s="19" t="s">
        <v>416</v>
      </c>
      <c r="I1" s="19" t="s">
        <v>417</v>
      </c>
      <c r="J1" s="135" t="s">
        <v>302</v>
      </c>
    </row>
    <row r="2" spans="1:10">
      <c r="A2" s="138"/>
      <c r="B2" s="138" t="s">
        <v>646</v>
      </c>
      <c r="C2" s="138" t="s">
        <v>647</v>
      </c>
      <c r="D2" s="138" t="s">
        <v>648</v>
      </c>
      <c r="E2" s="98">
        <f>INDEX(Veh_Marshal,0,1)</f>
        <v>3</v>
      </c>
      <c r="F2" s="98">
        <f>INDEX(Veh_Marshal,0,2)</f>
        <v>4</v>
      </c>
      <c r="G2" s="98">
        <f>INDEX(Veh_Marshal,0,3)</f>
        <v>5</v>
      </c>
      <c r="H2" s="98" t="str">
        <f>INDEX(Veh_Marshal,0,4)</f>
        <v>N/A</v>
      </c>
      <c r="I2" s="98" t="str">
        <f>INDEX(Veh_Marshal,0,5)</f>
        <v>N/A</v>
      </c>
      <c r="J2" s="136" t="s">
        <v>647</v>
      </c>
    </row>
    <row r="3" spans="1:10">
      <c r="A3" s="99">
        <v>1</v>
      </c>
      <c r="B3" s="99" t="s">
        <v>325</v>
      </c>
      <c r="C3" s="99" t="s">
        <v>649</v>
      </c>
      <c r="D3" s="99" t="s">
        <v>1</v>
      </c>
      <c r="E3" s="99">
        <f>IF(E$2="N/A","N/A",IF(Proj_Cbi2ZcDelay="0",
CEILING(Conf_Cbi2ZcCycle+Conf_ComOutTime_CBI+
Conf_DcsDelay+
Conf_ComInTime_ZC+Conf_BizcCycle,1000),
Proj_Cbi2ZcDelay))</f>
        <v>3000</v>
      </c>
      <c r="F3" s="99">
        <f>IF(F$2="N/A","N/A",IF(Proj_Cbi2ZcDelay="0",
CEILING(Conf_Cbi2ZcCycle+Conf_ComOutTime_CBI+
Conf_DcsDelay+
Conf_ComInTime_ZC+Conf_BizcCycle,1000),
Proj_Cbi2ZcDelay))</f>
        <v>3000</v>
      </c>
      <c r="G3" s="99">
        <f>IF(G$2="N/A","N/A",IF(Proj_Cbi2ZcDelay="0",
CEILING(Conf_Cbi2ZcCycle+Conf_ComOutTime_CBI+
Conf_DcsDelay+
Conf_ComInTime_ZC+Conf_BizcCycle,1000),
Proj_Cbi2ZcDelay))</f>
        <v>3000</v>
      </c>
      <c r="H3" s="99" t="str">
        <f>IF(H$2="N/A","N/A",IF(Proj_Cbi2ZcDelay="0",
CEILING(Conf_Cbi2ZcCycle+Conf_ComOutTime_CBI+
Conf_DcsDelay+
Conf_ComInTime_ZC+Conf_BizcCycle,1000),
Proj_Cbi2ZcDelay))</f>
        <v>N/A</v>
      </c>
      <c r="I3" s="99" t="str">
        <f>IF(I$2="N/A","N/A",IF(Proj_Cbi2ZcDelay="0",
CEILING(Conf_Cbi2ZcCycle+Conf_ComOutTime_CBI+
Conf_DcsDelay+
Conf_ComInTime_ZC+Conf_BizcCycle,1000),
Proj_Cbi2ZcDelay))</f>
        <v>N/A</v>
      </c>
      <c r="J3" s="100"/>
    </row>
    <row r="4" spans="1:10">
      <c r="A4" s="99">
        <v>2</v>
      </c>
      <c r="B4" s="99" t="s">
        <v>324</v>
      </c>
      <c r="C4" s="99" t="s">
        <v>650</v>
      </c>
      <c r="D4" s="99" t="s">
        <v>1</v>
      </c>
      <c r="E4" s="99">
        <f>IF(E$2="N/A","N/A",IF(Proj_Zc2CbiDelay="0",
CEILING(Conf_Zc2CbiCycle+Conf_ComOutTime_ZC+
Conf_DcsDelay+
Conf_ComInTime_CBI+Conf_BilockCycle,1000),
Proj_Zc2CbiDelay))</f>
        <v>3000</v>
      </c>
      <c r="F4" s="99">
        <f>IF(F$2="N/A","N/A",IF(Proj_Zc2CbiDelay="0",
CEILING(Conf_Zc2CbiCycle+Conf_ComOutTime_ZC+
Conf_DcsDelay+
Conf_ComInTime_CBI+Conf_BilockCycle,1000),
Proj_Zc2CbiDelay))</f>
        <v>3000</v>
      </c>
      <c r="G4" s="99">
        <f>IF(G$2="N/A","N/A",IF(Proj_Zc2CbiDelay="0",
CEILING(Conf_Zc2CbiCycle+Conf_ComOutTime_ZC+
Conf_DcsDelay+
Conf_ComInTime_CBI+Conf_BilockCycle,1000),
Proj_Zc2CbiDelay))</f>
        <v>3000</v>
      </c>
      <c r="H4" s="99" t="str">
        <f>IF(H$2="N/A","N/A",IF(Proj_Zc2CbiDelay="0",
CEILING(Conf_Zc2CbiCycle+Conf_ComOutTime_ZC+
Conf_DcsDelay+
Conf_ComInTime_CBI+Conf_BilockCycle,1000),
Proj_Zc2CbiDelay))</f>
        <v>N/A</v>
      </c>
      <c r="I4" s="99" t="str">
        <f>IF(I$2="N/A","N/A",IF(Proj_Zc2CbiDelay="0",
CEILING(Conf_Zc2CbiCycle+Conf_ComOutTime_ZC+
Conf_DcsDelay+
Conf_ComInTime_CBI+Conf_BilockCycle,1000),
Proj_Zc2CbiDelay))</f>
        <v>N/A</v>
      </c>
      <c r="J4" s="100"/>
    </row>
    <row r="5" spans="1:10">
      <c r="A5" s="99">
        <v>3</v>
      </c>
      <c r="B5" s="99" t="s">
        <v>326</v>
      </c>
      <c r="C5" s="99" t="s">
        <v>651</v>
      </c>
      <c r="D5" s="99" t="s">
        <v>1</v>
      </c>
      <c r="E5" s="99">
        <f>IF(E$2="N/A","N/A",IF(Proj_Zc2CcDelay="0",
CEILING(Conf_Zc2CcCycle+Conf_ComOutTime_ZC+
Conf_NetworkMargin+
Conf_ComInTime_CC+Conf_BiccCycle,1000),
Proj_Zc2CcDelay))</f>
        <v>5000</v>
      </c>
      <c r="F5" s="99">
        <f>IF(F$2="N/A","N/A",IF(Proj_Zc2CcDelay="0",
CEILING(Conf_Zc2CcCycle+Conf_ComOutTime_ZC+
Conf_NetworkMargin+
Conf_ComInTime_CC+Conf_BiccCycle,1000),
Proj_Zc2CcDelay))</f>
        <v>5000</v>
      </c>
      <c r="G5" s="99">
        <f>IF(G$2="N/A","N/A",IF(Proj_Zc2CcDelay="0",
CEILING(Conf_Zc2CcCycle+Conf_ComOutTime_ZC+
Conf_NetworkMargin+
Conf_ComInTime_CC+Conf_BiccCycle,1000),
Proj_Zc2CcDelay))</f>
        <v>5000</v>
      </c>
      <c r="H5" s="99" t="str">
        <f>IF(H$2="N/A","N/A",IF(Proj_Zc2CcDelay="0",
CEILING(Conf_Zc2CcCycle+Conf_ComOutTime_ZC+
Conf_NetworkMargin+
Conf_ComInTime_CC+Conf_BiccCycle,1000),
Proj_Zc2CcDelay))</f>
        <v>N/A</v>
      </c>
      <c r="I5" s="99" t="str">
        <f>IF(I$2="N/A","N/A",IF(Proj_Zc2CcDelay="0",
CEILING(Conf_Zc2CcCycle+Conf_ComOutTime_ZC+
Conf_NetworkMargin+
Conf_ComInTime_CC+Conf_BiccCycle,1000),
Proj_Zc2CcDelay))</f>
        <v>N/A</v>
      </c>
      <c r="J5" s="100"/>
    </row>
    <row r="6" spans="1:10">
      <c r="A6" s="99">
        <v>4</v>
      </c>
      <c r="B6" s="99" t="s">
        <v>323</v>
      </c>
      <c r="C6" s="99" t="s">
        <v>652</v>
      </c>
      <c r="D6" s="99" t="s">
        <v>1</v>
      </c>
      <c r="E6" s="99">
        <f>IF(E$2="N/A","N/A",IF(Proj_Cc2ZcDelay="0",
CEILING(Conf_Cc2ZcCycle+Conf_ComOutTime_CC+
Conf_NetworkMargin+
Conf_ComInTime_ZC+Conf_BizcCycle,1000),
Proj_Cc2ZcDelay))</f>
        <v>6000</v>
      </c>
      <c r="F6" s="99">
        <f>IF(F$2="N/A","N/A",IF(Proj_Cc2ZcDelay="0",
CEILING(Conf_Cc2ZcCycle+Conf_ComOutTime_CC+
Conf_NetworkMargin+
Conf_ComInTime_ZC+Conf_BizcCycle,1000),
Proj_Cc2ZcDelay))</f>
        <v>6000</v>
      </c>
      <c r="G6" s="99">
        <f>IF(G$2="N/A","N/A",IF(Proj_Cc2ZcDelay="0",
CEILING(Conf_Cc2ZcCycle+Conf_ComOutTime_CC+
Conf_NetworkMargin+
Conf_ComInTime_ZC+Conf_BizcCycle,1000),
Proj_Cc2ZcDelay))</f>
        <v>6000</v>
      </c>
      <c r="H6" s="99" t="str">
        <f>IF(H$2="N/A","N/A",IF(Proj_Cc2ZcDelay="0",
CEILING(Conf_Cc2ZcCycle+Conf_ComOutTime_CC+
Conf_NetworkMargin+
Conf_ComInTime_ZC+Conf_BizcCycle,1000),
Proj_Cc2ZcDelay))</f>
        <v>N/A</v>
      </c>
      <c r="I6" s="99" t="str">
        <f>IF(I$2="N/A","N/A",IF(Proj_Cc2ZcDelay="0",
CEILING(Conf_Cc2ZcCycle+Conf_ComOutTime_CC+
Conf_NetworkMargin+
Conf_ComInTime_ZC+Conf_BizcCycle,1000),
Proj_Cc2ZcDelay))</f>
        <v>N/A</v>
      </c>
      <c r="J6" s="100"/>
    </row>
    <row r="7" spans="1:10" ht="25.2">
      <c r="A7" s="99">
        <v>5</v>
      </c>
      <c r="B7" s="99" t="s">
        <v>72</v>
      </c>
      <c r="C7" s="99" t="s">
        <v>653</v>
      </c>
      <c r="D7" s="99" t="s">
        <v>1</v>
      </c>
      <c r="E7" s="99">
        <f>IF(E$2="N/A","N/A",IF(Proj_Cc2CbiDelay="0",
CEILING(Conf_Cc2CbiCycle+Conf_ComOutTime_CC+
Conf_NetworkMargin+
Conf_ComInTime_CBI+Conf_BilockCycle,1000),
Proj_Cc2CbiDelay))</f>
        <v>5000</v>
      </c>
      <c r="F7" s="99">
        <f>IF(F$2="N/A","N/A",IF(Proj_Cc2CbiDelay="0",
CEILING(Conf_Cc2CbiCycle+Conf_ComOutTime_CC+
Conf_NetworkMargin+
Conf_ComInTime_CBI+Conf_BilockCycle,1000),
Proj_Cc2CbiDelay))</f>
        <v>5000</v>
      </c>
      <c r="G7" s="99">
        <f>IF(G$2="N/A","N/A",IF(Proj_Cc2CbiDelay="0",
CEILING(Conf_Cc2CbiCycle+Conf_ComOutTime_CC+
Conf_NetworkMargin+
Conf_ComInTime_CBI+Conf_BilockCycle,1000),
Proj_Cc2CbiDelay))</f>
        <v>5000</v>
      </c>
      <c r="H7" s="99" t="str">
        <f>IF(H$2="N/A","N/A",IF(Proj_Cc2CbiDelay="0",
CEILING(Conf_Cc2CbiCycle+Conf_ComOutTime_CC+
Conf_NetworkMargin+
Conf_ComInTime_CBI+Conf_BilockCycle,1000),
Proj_Cc2CbiDelay))</f>
        <v>N/A</v>
      </c>
      <c r="I7" s="99" t="str">
        <f>IF(I$2="N/A","N/A",IF(Proj_Cc2CbiDelay="0",
CEILING(Conf_Cc2CbiCycle+Conf_ComOutTime_CC+
Conf_NetworkMargin+
Conf_ComInTime_CBI+Conf_BilockCycle,1000),
Proj_Cc2CbiDelay))</f>
        <v>N/A</v>
      </c>
      <c r="J7" s="100"/>
    </row>
    <row r="8" spans="1:10" ht="25.2">
      <c r="A8" s="99">
        <v>6</v>
      </c>
      <c r="B8" s="99" t="s">
        <v>308</v>
      </c>
      <c r="C8" s="99" t="s">
        <v>654</v>
      </c>
      <c r="D8" s="99" t="s">
        <v>1</v>
      </c>
      <c r="E8" s="99">
        <f>IF(E$2="N/A","N/A",IF(Proj_Cbi2CcDelay="0",
CEILING(Conf_Cbi2CcCycle+Conf_ComOutTime_CBI+
Conf_NetworkMargin+
Conf_ComInTime_CC+Conf_BiccCycle,1000),
Proj_Cbi2CcDelay))</f>
        <v>5000</v>
      </c>
      <c r="F8" s="99">
        <f>IF(F$2="N/A","N/A",IF(Proj_Cbi2CcDelay="0",
CEILING(Conf_Cbi2CcCycle+Conf_ComOutTime_CBI+
Conf_NetworkMargin+
Conf_ComInTime_CC+Conf_BiccCycle,1000),
Proj_Cbi2CcDelay))</f>
        <v>5000</v>
      </c>
      <c r="G8" s="99">
        <f>IF(G$2="N/A","N/A",IF(Proj_Cbi2CcDelay="0",
CEILING(Conf_Cbi2CcCycle+Conf_ComOutTime_CBI+
Conf_NetworkMargin+
Conf_ComInTime_CC+Conf_BiccCycle,1000),
Proj_Cbi2CcDelay))</f>
        <v>5000</v>
      </c>
      <c r="H8" s="99" t="str">
        <f>IF(H$2="N/A","N/A",IF(Proj_Cbi2CcDelay="0",
CEILING(Conf_Cbi2CcCycle+Conf_ComOutTime_CBI+
Conf_NetworkMargin+
Conf_ComInTime_CC+Conf_BiccCycle,1000),
Proj_Cbi2CcDelay))</f>
        <v>N/A</v>
      </c>
      <c r="I8" s="99" t="str">
        <f>IF(I$2="N/A","N/A",IF(Proj_Cbi2CcDelay="0",
CEILING(Conf_Cbi2CcCycle+Conf_ComOutTime_CBI+
Conf_NetworkMargin+
Conf_ComInTime_CC+Conf_BiccCycle,1000),
Proj_Cbi2CcDelay))</f>
        <v>N/A</v>
      </c>
      <c r="J8" s="100"/>
    </row>
    <row r="9" spans="1:10">
      <c r="A9" s="99">
        <v>7</v>
      </c>
      <c r="B9" s="99" t="s">
        <v>155</v>
      </c>
      <c r="C9" s="99" t="s">
        <v>655</v>
      </c>
      <c r="D9" s="99" t="s">
        <v>1</v>
      </c>
      <c r="E9" s="99">
        <f>IF(E$2="N/A","N/A",CEILING(Conf_Cc2AtsCycle+Conf_ComOutTime_CC+
Conf_NetworkMargin+
Conf_BiviewCycle,1000))</f>
        <v>5000</v>
      </c>
      <c r="F9" s="99">
        <f>IF(F$2="N/A","N/A",CEILING(Conf_Cc2AtsCycle+Conf_ComOutTime_CC+
Conf_NetworkMargin+
Conf_BiviewCycle,1000))</f>
        <v>5000</v>
      </c>
      <c r="G9" s="99">
        <f>IF(G$2="N/A","N/A",CEILING(Conf_Cc2AtsCycle+Conf_ComOutTime_CC+
Conf_NetworkMargin+
Conf_BiviewCycle,1000))</f>
        <v>5000</v>
      </c>
      <c r="H9" s="99" t="str">
        <f>IF(H$2="N/A","N/A",CEILING(Conf_Cc2AtsCycle+Conf_ComOutTime_CC+
Conf_NetworkMargin+
Conf_BiviewCycle,1000))</f>
        <v>N/A</v>
      </c>
      <c r="I9" s="99" t="str">
        <f>IF(I$2="N/A","N/A",CEILING(Conf_Cc2AtsCycle+Conf_ComOutTime_CC+
Conf_NetworkMargin+
Conf_BiviewCycle,1000))</f>
        <v>N/A</v>
      </c>
      <c r="J9" s="100"/>
    </row>
    <row r="10" spans="1:10">
      <c r="A10" s="99">
        <v>8</v>
      </c>
      <c r="B10" s="99" t="s">
        <v>156</v>
      </c>
      <c r="C10" s="99" t="s">
        <v>656</v>
      </c>
      <c r="D10" s="99" t="s">
        <v>1</v>
      </c>
      <c r="E10" s="99">
        <f>IF(E$2="N/A","N/A",CEILING(Conf_BiviewCycle*2+
Conf_NetworkMargin+
Conf_ComInTime_CC+Conf_BiccCycle,1000))</f>
        <v>5000</v>
      </c>
      <c r="F10" s="99">
        <f>IF(F$2="N/A","N/A",CEILING(Conf_BiviewCycle*2+
Conf_NetworkMargin+
Conf_ComInTime_CC+Conf_BiccCycle,1000))</f>
        <v>5000</v>
      </c>
      <c r="G10" s="99">
        <f>IF(G$2="N/A","N/A",CEILING(Conf_BiviewCycle*2+
Conf_NetworkMargin+
Conf_ComInTime_CC+Conf_BiccCycle,1000))</f>
        <v>5000</v>
      </c>
      <c r="H10" s="99" t="str">
        <f>IF(H$2="N/A","N/A",CEILING(Conf_BiviewCycle*2+
Conf_NetworkMargin+
Conf_ComInTime_CC+Conf_BiccCycle,1000))</f>
        <v>N/A</v>
      </c>
      <c r="I10" s="99" t="str">
        <f>IF(I$2="N/A","N/A",CEILING(Conf_BiviewCycle*2+
Conf_NetworkMargin+
Conf_ComInTime_CC+Conf_BiccCycle,1000))</f>
        <v>N/A</v>
      </c>
      <c r="J10" s="100"/>
    </row>
    <row r="11" spans="1:10">
      <c r="A11" s="99">
        <v>9</v>
      </c>
      <c r="B11" s="99" t="s">
        <v>157</v>
      </c>
      <c r="C11" s="99" t="s">
        <v>657</v>
      </c>
      <c r="D11" s="99" t="s">
        <v>1</v>
      </c>
      <c r="E11" s="99">
        <f>IF(E$2="N/A","N/A",CEILING(Conf_Zc2AtsCycle+Conf_ComOutTime_ZC+
Conf_DcsDelay+
Conf_BiviewCycle,1000))</f>
        <v>2000</v>
      </c>
      <c r="F11" s="99">
        <f>IF(F$2="N/A","N/A",CEILING(Conf_Zc2AtsCycle+Conf_ComOutTime_ZC+
Conf_DcsDelay+
Conf_BiviewCycle,1000))</f>
        <v>2000</v>
      </c>
      <c r="G11" s="99">
        <f>IF(G$2="N/A","N/A",CEILING(Conf_Zc2AtsCycle+Conf_ComOutTime_ZC+
Conf_DcsDelay+
Conf_BiviewCycle,1000))</f>
        <v>2000</v>
      </c>
      <c r="H11" s="99" t="str">
        <f>IF(H$2="N/A","N/A",CEILING(Conf_Zc2AtsCycle+Conf_ComOutTime_ZC+
Conf_DcsDelay+
Conf_BiviewCycle,1000))</f>
        <v>N/A</v>
      </c>
      <c r="I11" s="99" t="str">
        <f>IF(I$2="N/A","N/A",CEILING(Conf_Zc2AtsCycle+Conf_ComOutTime_ZC+
Conf_DcsDelay+
Conf_BiviewCycle,1000))</f>
        <v>N/A</v>
      </c>
      <c r="J11" s="100"/>
    </row>
    <row r="12" spans="1:10">
      <c r="A12" s="99">
        <v>10</v>
      </c>
      <c r="B12" s="99" t="s">
        <v>158</v>
      </c>
      <c r="C12" s="99" t="s">
        <v>658</v>
      </c>
      <c r="D12" s="99" t="s">
        <v>1</v>
      </c>
      <c r="E12" s="99">
        <f>IF(E$2="N/A","N/A",CEILING(Conf_BiviewCycle*2+
Conf_DcsDelay+
Conf_ComInTime_ZC+Conf_BizcCycle,1000))</f>
        <v>3000</v>
      </c>
      <c r="F12" s="99">
        <f>IF(F$2="N/A","N/A",CEILING(Conf_BiviewCycle*2+
Conf_DcsDelay+
Conf_ComInTime_ZC+Conf_BizcCycle,1000))</f>
        <v>3000</v>
      </c>
      <c r="G12" s="99">
        <f>IF(G$2="N/A","N/A",CEILING(Conf_BiviewCycle*2+
Conf_DcsDelay+
Conf_ComInTime_ZC+Conf_BizcCycle,1000))</f>
        <v>3000</v>
      </c>
      <c r="H12" s="99" t="str">
        <f>IF(H$2="N/A","N/A",CEILING(Conf_BiviewCycle*2+
Conf_DcsDelay+
Conf_ComInTime_ZC+Conf_BizcCycle,1000))</f>
        <v>N/A</v>
      </c>
      <c r="I12" s="99" t="str">
        <f>IF(I$2="N/A","N/A",CEILING(Conf_BiviewCycle*2+
Conf_DcsDelay+
Conf_ComInTime_ZC+Conf_BizcCycle,1000))</f>
        <v>N/A</v>
      </c>
      <c r="J12" s="100"/>
    </row>
    <row r="13" spans="1:10">
      <c r="A13" s="99">
        <v>11</v>
      </c>
      <c r="B13" s="99" t="s">
        <v>159</v>
      </c>
      <c r="C13" s="99" t="s">
        <v>659</v>
      </c>
      <c r="D13" s="99" t="s">
        <v>1</v>
      </c>
      <c r="E13" s="99">
        <f>IF(E$2="N/A","N/A",CEILING(Conf_Cbi2AtsCycle+Conf_ComOutTime_CBI+
Conf_DcsDelay+
Conf_BiviewCycle,1000))</f>
        <v>2000</v>
      </c>
      <c r="F13" s="99">
        <f>IF(F$2="N/A","N/A",CEILING(Conf_Cbi2AtsCycle+Conf_ComOutTime_CBI+
Conf_DcsDelay+
Conf_BiviewCycle,1000))</f>
        <v>2000</v>
      </c>
      <c r="G13" s="99">
        <f>IF(G$2="N/A","N/A",CEILING(Conf_Cbi2AtsCycle+Conf_ComOutTime_CBI+
Conf_DcsDelay+
Conf_BiviewCycle,1000))</f>
        <v>2000</v>
      </c>
      <c r="H13" s="99" t="str">
        <f>IF(H$2="N/A","N/A",CEILING(Conf_Cbi2AtsCycle+Conf_ComOutTime_CBI+
Conf_DcsDelay+
Conf_BiviewCycle,1000))</f>
        <v>N/A</v>
      </c>
      <c r="I13" s="99" t="str">
        <f>IF(I$2="N/A","N/A",CEILING(Conf_Cbi2AtsCycle+Conf_ComOutTime_CBI+
Conf_DcsDelay+
Conf_BiviewCycle,1000))</f>
        <v>N/A</v>
      </c>
      <c r="J13" s="100"/>
    </row>
    <row r="14" spans="1:10">
      <c r="A14" s="99">
        <v>12</v>
      </c>
      <c r="B14" s="99" t="s">
        <v>255</v>
      </c>
      <c r="C14" s="99" t="s">
        <v>660</v>
      </c>
      <c r="D14" s="99" t="s">
        <v>1</v>
      </c>
      <c r="E14" s="99">
        <f>IF(E$2="N/A","N/A",IF(Proj_HandOverCBIDelay="0",
CEILING(Conf_Cbi2CbiCycle+Conf_ComOutTime_CBI+
Conf_DcsDelay+
Conf_ComInTime_CBI+Conf_BilockCycle,1000),
Proj_HandOverCBIDelay))</f>
        <v>3000</v>
      </c>
      <c r="F14" s="99">
        <f>IF(F$2="N/A","N/A",IF(Proj_HandOverCBIDelay="0",
CEILING(Conf_Cbi2CbiCycle+Conf_ComOutTime_CBI+
Conf_DcsDelay+
Conf_ComInTime_CBI+Conf_BilockCycle,1000),
Proj_HandOverCBIDelay))</f>
        <v>3000</v>
      </c>
      <c r="G14" s="99">
        <f>IF(G$2="N/A","N/A",IF(Proj_HandOverCBIDelay="0",
CEILING(Conf_Cbi2CbiCycle+Conf_ComOutTime_CBI+
Conf_DcsDelay+
Conf_ComInTime_CBI+Conf_BilockCycle,1000),
Proj_HandOverCBIDelay))</f>
        <v>3000</v>
      </c>
      <c r="H14" s="99" t="str">
        <f>IF(H$2="N/A","N/A",IF(Proj_HandOverCBIDelay="0",
CEILING(Conf_Cbi2CbiCycle+Conf_ComOutTime_CBI+
Conf_DcsDelay+
Conf_ComInTime_CBI+Conf_BilockCycle,1000),
Proj_HandOverCBIDelay))</f>
        <v>N/A</v>
      </c>
      <c r="I14" s="99" t="str">
        <f>IF(I$2="N/A","N/A",IF(Proj_HandOverCBIDelay="0",
CEILING(Conf_Cbi2CbiCycle+Conf_ComOutTime_CBI+
Conf_DcsDelay+
Conf_ComInTime_CBI+Conf_BilockCycle,1000),
Proj_HandOverCBIDelay))</f>
        <v>N/A</v>
      </c>
      <c r="J14" s="100"/>
    </row>
    <row r="15" spans="1:10">
      <c r="A15" s="99">
        <v>13</v>
      </c>
      <c r="B15" s="99" t="s">
        <v>256</v>
      </c>
      <c r="C15" s="99" t="s">
        <v>661</v>
      </c>
      <c r="D15" s="99" t="s">
        <v>1</v>
      </c>
      <c r="E15" s="99">
        <f>IF(E$2="N/A","N/A",IF(Proj_HandOverZCDelay="0",
CEILING(Conf_Zc2ZcCycle+Conf_ComOutTime_ZC+
Conf_DcsDelay+
Conf_ComInTime_ZC+Conf_BizcCycle,1000),
Proj_HandOverZCDelay))</f>
        <v>3000</v>
      </c>
      <c r="F15" s="99">
        <f>IF(F$2="N/A","N/A",IF(Proj_HandOverZCDelay="0",
CEILING(Conf_Zc2ZcCycle+Conf_ComOutTime_ZC+
Conf_DcsDelay+
Conf_ComInTime_ZC+Conf_BizcCycle,1000),
Proj_HandOverZCDelay))</f>
        <v>3000</v>
      </c>
      <c r="G15" s="99">
        <f>IF(G$2="N/A","N/A",IF(Proj_HandOverZCDelay="0",
CEILING(Conf_Zc2ZcCycle+Conf_ComOutTime_ZC+
Conf_DcsDelay+
Conf_ComInTime_ZC+Conf_BizcCycle,1000),
Proj_HandOverZCDelay))</f>
        <v>3000</v>
      </c>
      <c r="H15" s="99" t="str">
        <f>IF(H$2="N/A","N/A",IF(Proj_HandOverZCDelay="0",
CEILING(Conf_Zc2ZcCycle+Conf_ComOutTime_ZC+
Conf_DcsDelay+
Conf_ComInTime_ZC+Conf_BizcCycle,1000),
Proj_HandOverZCDelay))</f>
        <v>N/A</v>
      </c>
      <c r="I15" s="99" t="str">
        <f>IF(I$2="N/A","N/A",IF(Proj_HandOverZCDelay="0",
CEILING(Conf_Zc2ZcCycle+Conf_ComOutTime_ZC+
Conf_DcsDelay+
Conf_ComInTime_ZC+Conf_BizcCycle,1000),
Proj_HandOverZCDelay))</f>
        <v>N/A</v>
      </c>
      <c r="J15" s="100"/>
    </row>
    <row r="16" spans="1:10" ht="26.4">
      <c r="A16" s="99">
        <v>14</v>
      </c>
      <c r="B16" s="99" t="s">
        <v>73</v>
      </c>
      <c r="C16" s="99" t="s">
        <v>7</v>
      </c>
      <c r="D16" s="99" t="s">
        <v>2</v>
      </c>
      <c r="E16" s="101">
        <f>IF(E$2="N/A","N/A",(Equ_BeaconReadDiff+Proj_BeaconFixDiff)*1000*Proj_LineSpdLimit)</f>
        <v>44000</v>
      </c>
      <c r="F16" s="101">
        <f>IF(F$2="N/A","N/A",(Equ_BeaconReadDiff+Proj_BeaconFixDiff)*1000*Proj_LineSpdLimit)</f>
        <v>44000</v>
      </c>
      <c r="G16" s="101">
        <f>IF(G$2="N/A","N/A",(Equ_BeaconReadDiff+Proj_BeaconFixDiff)*1000*Proj_LineSpdLimit)</f>
        <v>44000</v>
      </c>
      <c r="H16" s="101" t="str">
        <f>IF(H$2="N/A","N/A",(Equ_BeaconReadDiff+Proj_BeaconFixDiff)*1000*Proj_LineSpdLimit)</f>
        <v>N/A</v>
      </c>
      <c r="I16" s="101" t="str">
        <f>IF(I$2="N/A","N/A",(Equ_BeaconReadDiff+Proj_BeaconFixDiff)*1000*Proj_LineSpdLimit)</f>
        <v>N/A</v>
      </c>
      <c r="J16" s="100"/>
    </row>
    <row r="17" spans="1:10" ht="26.4">
      <c r="A17" s="99">
        <v>15</v>
      </c>
      <c r="B17" s="99" t="s">
        <v>74</v>
      </c>
      <c r="C17" s="99" t="s">
        <v>8</v>
      </c>
      <c r="D17" s="99" t="s">
        <v>2</v>
      </c>
      <c r="E17" s="101">
        <f>IF(E$2="N/A","N/A",CFG_L_MIN_DIST_IN_2_WDCBCN*4)</f>
        <v>176000</v>
      </c>
      <c r="F17" s="101">
        <f>IF(F$2="N/A","N/A",CFG_L_MIN_DIST_IN_2_WDCBCN*4)</f>
        <v>176000</v>
      </c>
      <c r="G17" s="101">
        <f>IF(G$2="N/A","N/A",CFG_L_MIN_DIST_IN_2_WDCBCN*4)</f>
        <v>176000</v>
      </c>
      <c r="H17" s="101" t="str">
        <f>IF(H$2="N/A","N/A",CFG_L_MIN_DIST_IN_2_WDCBCN*4)</f>
        <v>N/A</v>
      </c>
      <c r="I17" s="101" t="str">
        <f>IF(I$2="N/A","N/A",CFG_L_MIN_DIST_IN_2_WDCBCN*4)</f>
        <v>N/A</v>
      </c>
      <c r="J17" s="100"/>
    </row>
    <row r="18" spans="1:10" ht="26.4">
      <c r="A18" s="99">
        <v>16</v>
      </c>
      <c r="B18" s="99" t="s">
        <v>75</v>
      </c>
      <c r="C18" s="99" t="s">
        <v>3</v>
      </c>
      <c r="D18" s="99" t="s">
        <v>1</v>
      </c>
      <c r="E18" s="99">
        <f>IF(E$2="N/A","N/A",FLOOR(CFG_ERR_MAX_LOC/2/(Proj_LineSpdLimit/3.6),10))</f>
        <v>450</v>
      </c>
      <c r="F18" s="99">
        <f>IF(F$2="N/A","N/A",FLOOR(CFG_ERR_MAX_LOC/2/(Proj_LineSpdLimit/3.6),10))</f>
        <v>450</v>
      </c>
      <c r="G18" s="99">
        <f>IF(G$2="N/A","N/A",FLOOR(CFG_ERR_MAX_LOC/2/(Proj_LineSpdLimit/3.6),10))</f>
        <v>450</v>
      </c>
      <c r="H18" s="99" t="str">
        <f>IF(H$2="N/A","N/A",FLOOR(CFG_ERR_MAX_LOC/2/(Proj_LineSpdLimit/3.6),10))</f>
        <v>N/A</v>
      </c>
      <c r="I18" s="99" t="str">
        <f>IF(I$2="N/A","N/A",FLOOR(CFG_ERR_MAX_LOC/2/(Proj_LineSpdLimit/3.6),10))</f>
        <v>N/A</v>
      </c>
      <c r="J18" s="100"/>
    </row>
    <row r="19" spans="1:10" ht="26.4">
      <c r="A19" s="99">
        <v>17</v>
      </c>
      <c r="B19" s="99" t="s">
        <v>169</v>
      </c>
      <c r="C19" s="99" t="s">
        <v>4</v>
      </c>
      <c r="D19" s="99" t="s">
        <v>1</v>
      </c>
      <c r="E19" s="101">
        <f>IF(E$2="N/A","N/A",CEILING(Conf_BtmSendDelay,10))</f>
        <v>1000</v>
      </c>
      <c r="F19" s="101">
        <f>IF(F$2="N/A","N/A",CEILING(Conf_BtmSendDelay,10))</f>
        <v>1000</v>
      </c>
      <c r="G19" s="101">
        <f>IF(G$2="N/A","N/A",CEILING(Conf_BtmSendDelay,10))</f>
        <v>1000</v>
      </c>
      <c r="H19" s="101" t="str">
        <f>IF(H$2="N/A","N/A",CEILING(Conf_BtmSendDelay,10))</f>
        <v>N/A</v>
      </c>
      <c r="I19" s="101" t="str">
        <f>IF(I$2="N/A","N/A",CEILING(Conf_BtmSendDelay,10))</f>
        <v>N/A</v>
      </c>
      <c r="J19" s="100"/>
    </row>
    <row r="20" spans="1:10">
      <c r="A20" s="99">
        <v>18</v>
      </c>
      <c r="B20" s="99" t="s">
        <v>76</v>
      </c>
      <c r="C20" s="99" t="s">
        <v>662</v>
      </c>
      <c r="D20" s="99" t="s">
        <v>2</v>
      </c>
      <c r="E20" s="99">
        <f>IF(E$2="N/A","N/A",Conf_LocDiff*2*1000)</f>
        <v>20000</v>
      </c>
      <c r="F20" s="99">
        <f>IF(F$2="N/A","N/A",Conf_LocDiff*2*1000)</f>
        <v>20000</v>
      </c>
      <c r="G20" s="99">
        <f>IF(G$2="N/A","N/A",Conf_LocDiff*2*1000)</f>
        <v>20000</v>
      </c>
      <c r="H20" s="99" t="str">
        <f>IF(H$2="N/A","N/A",Conf_LocDiff*2*1000)</f>
        <v>N/A</v>
      </c>
      <c r="I20" s="99" t="str">
        <f>IF(I$2="N/A","N/A",Conf_LocDiff*2*1000)</f>
        <v>N/A</v>
      </c>
      <c r="J20" s="100"/>
    </row>
    <row r="21" spans="1:10">
      <c r="A21" s="101">
        <v>19</v>
      </c>
      <c r="B21" s="101" t="s">
        <v>192</v>
      </c>
      <c r="C21" s="102" t="s">
        <v>422</v>
      </c>
      <c r="D21" s="101" t="s">
        <v>2</v>
      </c>
      <c r="E21" s="101" t="s">
        <v>418</v>
      </c>
      <c r="F21" s="101" t="s">
        <v>418</v>
      </c>
      <c r="G21" s="101" t="s">
        <v>418</v>
      </c>
      <c r="H21" s="101" t="s">
        <v>418</v>
      </c>
      <c r="I21" s="101" t="s">
        <v>418</v>
      </c>
      <c r="J21" s="103" t="s">
        <v>663</v>
      </c>
    </row>
    <row r="22" spans="1:10">
      <c r="A22" s="101">
        <v>20</v>
      </c>
      <c r="B22" s="101" t="s">
        <v>364</v>
      </c>
      <c r="C22" s="101" t="s">
        <v>664</v>
      </c>
      <c r="D22" s="101" t="s">
        <v>1</v>
      </c>
      <c r="E22" s="101" t="s">
        <v>418</v>
      </c>
      <c r="F22" s="101" t="s">
        <v>418</v>
      </c>
      <c r="G22" s="101" t="s">
        <v>418</v>
      </c>
      <c r="H22" s="101" t="s">
        <v>418</v>
      </c>
      <c r="I22" s="101" t="s">
        <v>418</v>
      </c>
      <c r="J22" s="103" t="s">
        <v>665</v>
      </c>
    </row>
    <row r="23" spans="1:10">
      <c r="A23" s="101">
        <v>21</v>
      </c>
      <c r="B23" s="101" t="s">
        <v>365</v>
      </c>
      <c r="C23" s="101" t="s">
        <v>666</v>
      </c>
      <c r="D23" s="101" t="s">
        <v>1</v>
      </c>
      <c r="E23" s="101" t="s">
        <v>418</v>
      </c>
      <c r="F23" s="101" t="s">
        <v>418</v>
      </c>
      <c r="G23" s="101" t="s">
        <v>418</v>
      </c>
      <c r="H23" s="101" t="s">
        <v>418</v>
      </c>
      <c r="I23" s="101" t="s">
        <v>418</v>
      </c>
      <c r="J23" s="103" t="s">
        <v>665</v>
      </c>
    </row>
    <row r="24" spans="1:10">
      <c r="A24" s="101">
        <v>22</v>
      </c>
      <c r="B24" s="101" t="s">
        <v>372</v>
      </c>
      <c r="C24" s="102" t="s">
        <v>667</v>
      </c>
      <c r="D24" s="101" t="s">
        <v>1</v>
      </c>
      <c r="E24" s="101" t="s">
        <v>418</v>
      </c>
      <c r="F24" s="101" t="s">
        <v>418</v>
      </c>
      <c r="G24" s="101" t="s">
        <v>418</v>
      </c>
      <c r="H24" s="101" t="s">
        <v>418</v>
      </c>
      <c r="I24" s="101" t="s">
        <v>418</v>
      </c>
      <c r="J24" s="103" t="s">
        <v>665</v>
      </c>
    </row>
    <row r="25" spans="1:10" ht="26.4">
      <c r="A25" s="101">
        <v>23</v>
      </c>
      <c r="B25" s="101" t="s">
        <v>368</v>
      </c>
      <c r="C25" s="101" t="s">
        <v>668</v>
      </c>
      <c r="D25" s="101" t="s">
        <v>1</v>
      </c>
      <c r="E25" s="101" t="s">
        <v>418</v>
      </c>
      <c r="F25" s="101" t="s">
        <v>418</v>
      </c>
      <c r="G25" s="101" t="s">
        <v>418</v>
      </c>
      <c r="H25" s="101" t="s">
        <v>418</v>
      </c>
      <c r="I25" s="101" t="s">
        <v>418</v>
      </c>
      <c r="J25" s="103" t="s">
        <v>665</v>
      </c>
    </row>
    <row r="26" spans="1:10" ht="25.2">
      <c r="A26" s="101">
        <v>24</v>
      </c>
      <c r="B26" s="101" t="s">
        <v>370</v>
      </c>
      <c r="C26" s="101" t="s">
        <v>669</v>
      </c>
      <c r="D26" s="101" t="s">
        <v>1</v>
      </c>
      <c r="E26" s="101" t="s">
        <v>418</v>
      </c>
      <c r="F26" s="101" t="s">
        <v>418</v>
      </c>
      <c r="G26" s="101" t="s">
        <v>418</v>
      </c>
      <c r="H26" s="101" t="s">
        <v>418</v>
      </c>
      <c r="I26" s="101" t="s">
        <v>418</v>
      </c>
      <c r="J26" s="103" t="s">
        <v>665</v>
      </c>
    </row>
    <row r="27" spans="1:10">
      <c r="A27" s="101">
        <v>25</v>
      </c>
      <c r="B27" s="101" t="s">
        <v>139</v>
      </c>
      <c r="C27" s="101" t="s">
        <v>670</v>
      </c>
      <c r="D27" s="101" t="s">
        <v>140</v>
      </c>
      <c r="E27" s="101" t="s">
        <v>418</v>
      </c>
      <c r="F27" s="101" t="s">
        <v>418</v>
      </c>
      <c r="G27" s="101" t="s">
        <v>418</v>
      </c>
      <c r="H27" s="101" t="s">
        <v>418</v>
      </c>
      <c r="I27" s="101" t="s">
        <v>418</v>
      </c>
      <c r="J27" s="103" t="s">
        <v>665</v>
      </c>
    </row>
    <row r="28" spans="1:10" s="105" customFormat="1" ht="37.200000000000003">
      <c r="A28" s="101">
        <v>26</v>
      </c>
      <c r="B28" s="101" t="s">
        <v>104</v>
      </c>
      <c r="C28" s="101" t="s">
        <v>671</v>
      </c>
      <c r="D28" s="101" t="s">
        <v>1</v>
      </c>
      <c r="E28" s="104">
        <f>IF(E$2="N/A","N/A",CEILING(CFG_T_CBI_ALIVE_TO_ZC+CFG_T_ZC_ALIVE_TO_CC+Conf_BiccCycle
+CFG_T_EB_OUT+CFG_T_EB_SETUP
+Proj_LineSpdLimit/3.6/(MIN(Veh_Gebr)-Proj_MaxLineGrad*9.8/1000)*1000
+Equ_AxleClearDelay
+Conf_VibInTime_CBI,10000))</f>
        <v>120000</v>
      </c>
      <c r="F28" s="104">
        <f>IF(F$2="N/A","N/A",CEILING(CFG_T_CBI_ALIVE_TO_ZC+CFG_T_ZC_ALIVE_TO_CC+Conf_BiccCycle
+CFG_T_EB_OUT+CFG_T_EB_SETUP
+Proj_LineSpdLimit/3.6/(MIN(Veh_Gebr)-Proj_MaxLineGrad*9.8/1000)*1000
+Equ_AxleClearDelay
+Conf_VibInTime_CBI,10000))</f>
        <v>120000</v>
      </c>
      <c r="G28" s="104">
        <f>IF(G$2="N/A","N/A",CEILING(CFG_T_CBI_ALIVE_TO_ZC+CFG_T_ZC_ALIVE_TO_CC+Conf_BiccCycle
+CFG_T_EB_OUT+CFG_T_EB_SETUP
+Proj_LineSpdLimit/3.6/(MIN(Veh_Gebr)-Proj_MaxLineGrad*9.8/1000)*1000
+Equ_AxleClearDelay
+Conf_VibInTime_CBI,10000))</f>
        <v>120000</v>
      </c>
      <c r="H28" s="104" t="str">
        <f>IF(H$2="N/A","N/A",CEILING(CFG_T_CBI_ALIVE_TO_ZC+CFG_T_ZC_ALIVE_TO_CC+Conf_BiccCycle
+CFG_T_EB_OUT+CFG_T_EB_SETUP
+Proj_LineSpdLimit/3.6/(MIN(Veh_Gebr)-Proj_MaxLineGrad*9.8/1000)*1000
+Equ_AxleClearDelay
+Conf_VibInTime_CBI,10000))</f>
        <v>N/A</v>
      </c>
      <c r="I28" s="104" t="str">
        <f>IF(I$2="N/A","N/A",CEILING(CFG_T_CBI_ALIVE_TO_ZC+CFG_T_ZC_ALIVE_TO_CC+Conf_BiccCycle
+CFG_T_EB_OUT+CFG_T_EB_SETUP
+Proj_LineSpdLimit/3.6/(MIN(Veh_Gebr)-Proj_MaxLineGrad*9.8/1000)*1000
+Equ_AxleClearDelay
+Conf_VibInTime_CBI,10000))</f>
        <v>N/A</v>
      </c>
      <c r="J28" s="86" t="s">
        <v>672</v>
      </c>
    </row>
    <row r="29" spans="1:10">
      <c r="A29" s="99">
        <v>27</v>
      </c>
      <c r="B29" s="101" t="s">
        <v>419</v>
      </c>
      <c r="C29" s="101" t="s">
        <v>5</v>
      </c>
      <c r="D29" s="101" t="s">
        <v>1</v>
      </c>
      <c r="E29" s="101">
        <f>IF(E$2="N/A","N/A",CFG_T_ZC_ALIVE_TO_CBI)</f>
        <v>3000</v>
      </c>
      <c r="F29" s="101">
        <f>IF(F$2="N/A","N/A",CFG_T_ZC_ALIVE_TO_CBI)</f>
        <v>3000</v>
      </c>
      <c r="G29" s="101">
        <f>IF(G$2="N/A","N/A",CFG_T_ZC_ALIVE_TO_CBI)</f>
        <v>3000</v>
      </c>
      <c r="H29" s="101" t="str">
        <f>IF(H$2="N/A","N/A",CFG_T_ZC_ALIVE_TO_CBI)</f>
        <v>N/A</v>
      </c>
      <c r="I29" s="101" t="str">
        <f>IF(I$2="N/A","N/A",CFG_T_ZC_ALIVE_TO_CBI)</f>
        <v>N/A</v>
      </c>
      <c r="J29" s="100"/>
    </row>
    <row r="30" spans="1:10">
      <c r="A30" s="99">
        <v>28</v>
      </c>
      <c r="B30" s="99" t="s">
        <v>77</v>
      </c>
      <c r="C30" s="99" t="s">
        <v>9</v>
      </c>
      <c r="D30" s="99" t="s">
        <v>2</v>
      </c>
      <c r="E30" s="99">
        <f>IF(E$2="N/A","N/A",(Proj_MinVehicleLength-Proj_MinHook2Roller)*1000)</f>
        <v>23987.000000000004</v>
      </c>
      <c r="F30" s="99">
        <f>IF(F$2="N/A","N/A",(Proj_MinVehicleLength-Proj_MinHook2Roller)*1000)</f>
        <v>23987.000000000004</v>
      </c>
      <c r="G30" s="99">
        <f>IF(G$2="N/A","N/A",(Proj_MinVehicleLength-Proj_MinHook2Roller)*1000)</f>
        <v>23987.000000000004</v>
      </c>
      <c r="H30" s="99" t="str">
        <f>IF(H$2="N/A","N/A",(Proj_MinVehicleLength-Proj_MinHook2Roller)*1000)</f>
        <v>N/A</v>
      </c>
      <c r="I30" s="99" t="str">
        <f>IF(I$2="N/A","N/A",(Proj_MinVehicleLength-Proj_MinHook2Roller)*1000)</f>
        <v>N/A</v>
      </c>
      <c r="J30" s="100"/>
    </row>
    <row r="31" spans="1:10">
      <c r="A31" s="99">
        <v>29</v>
      </c>
      <c r="B31" s="99" t="s">
        <v>78</v>
      </c>
      <c r="C31" s="99" t="s">
        <v>10</v>
      </c>
      <c r="D31" s="99" t="s">
        <v>2</v>
      </c>
      <c r="E31" s="101">
        <f>IF(E$2="N/A","N/A",CFG_L_RS_HEAD_FILTER)</f>
        <v>23987.000000000004</v>
      </c>
      <c r="F31" s="101">
        <f>IF(F$2="N/A","N/A",CFG_L_RS_HEAD_FILTER)</f>
        <v>23987.000000000004</v>
      </c>
      <c r="G31" s="101">
        <f>IF(G$2="N/A","N/A",CFG_L_RS_HEAD_FILTER)</f>
        <v>23987.000000000004</v>
      </c>
      <c r="H31" s="101" t="str">
        <f>IF(H$2="N/A","N/A",CFG_L_RS_HEAD_FILTER)</f>
        <v>N/A</v>
      </c>
      <c r="I31" s="101" t="str">
        <f>IF(I$2="N/A","N/A",CFG_L_RS_HEAD_FILTER)</f>
        <v>N/A</v>
      </c>
      <c r="J31" s="100"/>
    </row>
    <row r="32" spans="1:10" ht="26.4">
      <c r="A32" s="99">
        <v>30</v>
      </c>
      <c r="B32" s="99" t="s">
        <v>79</v>
      </c>
      <c r="C32" s="99" t="s">
        <v>11</v>
      </c>
      <c r="D32" s="99" t="s">
        <v>2</v>
      </c>
      <c r="E32" s="101">
        <f>IF(E$2="N/A","N/A",Conf_SafeMarginDist*1000)</f>
        <v>5000</v>
      </c>
      <c r="F32" s="101">
        <f>IF(F$2="N/A","N/A",Conf_SafeMarginDist*1000)</f>
        <v>5000</v>
      </c>
      <c r="G32" s="101">
        <f>IF(G$2="N/A","N/A",Conf_SafeMarginDist*1000)</f>
        <v>5000</v>
      </c>
      <c r="H32" s="101" t="str">
        <f>IF(H$2="N/A","N/A",Conf_SafeMarginDist*1000)</f>
        <v>N/A</v>
      </c>
      <c r="I32" s="101" t="str">
        <f>IF(I$2="N/A","N/A",Conf_SafeMarginDist*1000)</f>
        <v>N/A</v>
      </c>
      <c r="J32" s="100"/>
    </row>
    <row r="33" spans="1:10">
      <c r="A33" s="99">
        <v>31</v>
      </c>
      <c r="B33" s="99" t="s">
        <v>432</v>
      </c>
      <c r="C33" s="99" t="s">
        <v>673</v>
      </c>
      <c r="D33" s="99" t="s">
        <v>111</v>
      </c>
      <c r="E33" s="104">
        <f>IF(E$2="N/A","N/A",
MAX(CEILING(Proj_PlatSpdLimit/3.6*(CFG_T_EB_OUT+CFG_T_EB_SETUP)/1000+(Proj_PlatSpdLimit/3.6)^2/2/(INDEX(Veh_Gebr,0,1)-Proj_MaxPlatGrad*9.8/1000)
-(Proj_PlatSpdLimit/3.6-(INDEX(Veh_MaxAcc,0,1)+Proj_MaxPlatGrad*9.8/1000)*CFG_T_EB_OUT/1000-Proj_MaxPlatGrad*9.8/1000*CFG_T_EB_SETUP/1000-10/3.6)^2/2/(INDEX(Veh_NormDec,0,1)-Proj_MaxPlatGrad*9.8/1000)
-Proj_Sp2AxleDist,1),0)*1000)</f>
        <v>108000</v>
      </c>
      <c r="F33" s="104">
        <f>IF(F$2="N/A","N/A",
MAX(CEILING(Proj_PlatSpdLimit/3.6*(CFG_T_EB_OUT+CFG_T_EB_SETUP)/1000+(Proj_PlatSpdLimit/3.6)^2/2/(INDEX(Veh_Gebr,0,2)-Proj_MaxPlatGrad*9.8/1000)
-(Proj_PlatSpdLimit/3.6-(INDEX(Veh_MaxAcc,0,2)+Proj_MaxPlatGrad*9.8/1000)*CFG_T_EB_OUT/1000-Proj_MaxPlatGrad*9.8/1000*CFG_T_EB_SETUP/1000-10/3.6)^2/2/(INDEX(Veh_NormDec,0,2)-Proj_MaxPlatGrad*9.8/1000)
-Proj_Sp2AxleDist,1),0)*1000)</f>
        <v>65000</v>
      </c>
      <c r="G33" s="104">
        <f>IF(G$2="N/A","N/A",
MAX(CEILING(Proj_PlatSpdLimit/3.6*(CFG_T_EB_OUT+CFG_T_EB_SETUP)/1000+(Proj_PlatSpdLimit/3.6)^2/2/(INDEX(Veh_Gebr,0,3)-Proj_MaxPlatGrad*9.8/1000)
-(Proj_PlatSpdLimit/3.6-(INDEX(Veh_MaxAcc,0,3)+Proj_MaxPlatGrad*9.8/1000)*CFG_T_EB_OUT/1000-Proj_MaxPlatGrad*9.8/1000*CFG_T_EB_SETUP/1000-10/3.6)^2/2/(INDEX(Veh_NormDec,0,3)-Proj_MaxPlatGrad*9.8/1000)
-Proj_Sp2AxleDist,1),0)*1000)</f>
        <v>37000</v>
      </c>
      <c r="H33" s="104" t="str">
        <f>IF(H$2="N/A","N/A",
MAX(CEILING(Proj_PlatSpdLimit/3.6*(CFG_T_EB_OUT+CFG_T_EB_SETUP)/1000+(Proj_PlatSpdLimit/3.6)^2/2/(INDEX(Veh_Gebr,0,4)-Proj_MaxPlatGrad*9.8/1000)
-(Proj_PlatSpdLimit/3.6-(INDEX(Veh_MaxAcc,0,4)+Proj_MaxPlatGrad*9.8/1000)*CFG_T_EB_OUT/1000-Proj_MaxPlatGrad*9.8/1000*CFG_T_EB_SETUP/1000-10/3.6)^2/2/(INDEX(Veh_NormDec,0,4)-Proj_MaxPlatGrad*9.8/1000)
-Proj_Sp2AxleDist,1),0)*1000)</f>
        <v>N/A</v>
      </c>
      <c r="I33" s="104" t="str">
        <f>IF(I$2="N/A","N/A",
MAX(CEILING(Proj_PlatSpdLimit/3.6*(CFG_T_EB_OUT+CFG_T_EB_SETUP)/1000+(Proj_PlatSpdLimit/3.6)^2/2/(INDEX(Veh_Gebr,0,5)-Proj_MaxPlatGrad*9.8/1000)
-(Proj_PlatSpdLimit/3.6-(INDEX(Veh_MaxAcc,0,5)+Proj_MaxPlatGrad*9.8/1000)*CFG_T_EB_OUT/1000-Proj_MaxPlatGrad*9.8/1000*CFG_T_EB_SETUP/1000-10/3.6)^2/2/(INDEX(Veh_NormDec,0,5)-Proj_MaxPlatGrad*9.8/1000)
-Proj_Sp2AxleDist,1),0)*1000)</f>
        <v>N/A</v>
      </c>
      <c r="J33" s="103" t="s">
        <v>420</v>
      </c>
    </row>
    <row r="34" spans="1:10">
      <c r="A34" s="99">
        <v>32</v>
      </c>
      <c r="B34" s="99" t="s">
        <v>176</v>
      </c>
      <c r="C34" s="99" t="s">
        <v>674</v>
      </c>
      <c r="D34" s="99" t="s">
        <v>111</v>
      </c>
      <c r="E34" s="104">
        <f>IF(E$2="N/A","N/A",
MAX(CEILING(12/3.6*CFG_T_EB_OUT/1000+(INDEX(Veh_MaxAcc,0,1)+Proj_MaxPlatGrad*9.8/1000)*(CFG_T_EB_OUT/1000)^2/2
+(12/3.6+(INDEX(Veh_MaxAcc,0,1)+Proj_MaxPlatGrad*9.8/1000)*CFG_T_EB_OUT/1000)*CFG_T_EB_SETUP/1000+Proj_MaxPlatGrad*9.8/1000*(CFG_T_EB_SETUP/1000)^2/2
+(12/3.6+(INDEX(Veh_MaxAcc,0,1)+Proj_MaxPlatGrad*9.8/1000)*CFG_T_EB_OUT/1000+Proj_MaxPlatGrad*9.8/1000*CFG_T_EB_SETUP/1000)^2/2/(INDEX(Veh_Gebr,0,1)-Proj_MaxPlatGrad*9.8/1000)
-Proj_Sp2AxleDist,1),0)*1000)</f>
        <v>28000</v>
      </c>
      <c r="F34" s="104">
        <f>IF(F$2="N/A","N/A",
MAX(CEILING(12/3.6*CFG_T_EB_OUT/1000+(INDEX(Veh_MaxAcc,0,2)+Proj_MaxPlatGrad*9.8/1000)*(CFG_T_EB_OUT/1000)^2/2
+(12/3.6+(INDEX(Veh_MaxAcc,0,2)+Proj_MaxPlatGrad*9.8/1000)*CFG_T_EB_OUT/1000)*CFG_T_EB_SETUP/1000+Proj_MaxPlatGrad*9.8/1000*(CFG_T_EB_SETUP/1000)^2/2
+(12/3.6+(INDEX(Veh_MaxAcc,0,2)+Proj_MaxPlatGrad*9.8/1000)*CFG_T_EB_OUT/1000+Proj_MaxPlatGrad*9.8/1000*CFG_T_EB_SETUP/1000)^2/2/(INDEX(Veh_Gebr,0,2)-Proj_MaxPlatGrad*9.8/1000)
-Proj_Sp2AxleDist,1),0)*1000)</f>
        <v>25000</v>
      </c>
      <c r="G34" s="104">
        <f>IF(G$2="N/A","N/A",
MAX(CEILING(12/3.6*CFG_T_EB_OUT/1000+(INDEX(Veh_MaxAcc,0,3)+Proj_MaxPlatGrad*9.8/1000)*(CFG_T_EB_OUT/1000)^2/2
+(12/3.6+(INDEX(Veh_MaxAcc,0,3)+Proj_MaxPlatGrad*9.8/1000)*CFG_T_EB_OUT/1000)*CFG_T_EB_SETUP/1000+Proj_MaxPlatGrad*9.8/1000*(CFG_T_EB_SETUP/1000)^2/2
+(12/3.6+(INDEX(Veh_MaxAcc,0,3)+Proj_MaxPlatGrad*9.8/1000)*CFG_T_EB_OUT/1000+Proj_MaxPlatGrad*9.8/1000*CFG_T_EB_SETUP/1000)^2/2/(INDEX(Veh_Gebr,0,3)-Proj_MaxPlatGrad*9.8/1000)
-Proj_Sp2AxleDist,1),0)*1000)</f>
        <v>23000</v>
      </c>
      <c r="H34" s="104" t="str">
        <f>IF(H$2="N/A","N/A",
MAX(CEILING(12/3.6*CFG_T_EB_OUT/1000+(INDEX(Veh_MaxAcc,0,4)+Proj_MaxPlatGrad*9.8/1000)*(CFG_T_EB_OUT/1000)^2/2
+(12/3.6+(INDEX(Veh_MaxAcc,0,4)+Proj_MaxPlatGrad*9.8/1000)*CFG_T_EB_OUT/1000)*CFG_T_EB_SETUP/1000+Proj_MaxPlatGrad*9.8/1000*(CFG_T_EB_SETUP/1000)^2/2
+(12/3.6+(INDEX(Veh_MaxAcc,0,4)+Proj_MaxPlatGrad*9.8/1000)*CFG_T_EB_OUT/1000+Proj_MaxPlatGrad*9.8/1000*CFG_T_EB_SETUP/1000)^2/2/(INDEX(Veh_Gebr,0,4)-Proj_MaxPlatGrad*9.8/1000)
-Proj_Sp2AxleDist,1),0)*1000)</f>
        <v>N/A</v>
      </c>
      <c r="I34" s="104" t="str">
        <f>IF(I$2="N/A","N/A",
MAX(CEILING(12/3.6*CFG_T_EB_OUT/1000+(INDEX(Veh_MaxAcc,0,5)+Proj_MaxPlatGrad*9.8/1000)*(CFG_T_EB_OUT/1000)^2/2
+(12/3.6+(INDEX(Veh_MaxAcc,0,5)+Proj_MaxPlatGrad*9.8/1000)*CFG_T_EB_OUT/1000)*CFG_T_EB_SETUP/1000+Proj_MaxPlatGrad*9.8/1000*(CFG_T_EB_SETUP/1000)^2/2
+(12/3.6+(INDEX(Veh_MaxAcc,0,5)+Proj_MaxPlatGrad*9.8/1000)*CFG_T_EB_OUT/1000+Proj_MaxPlatGrad*9.8/1000*CFG_T_EB_SETUP/1000)^2/2/(INDEX(Veh_Gebr,0,5)-Proj_MaxPlatGrad*9.8/1000)
-Proj_Sp2AxleDist,1),0)*1000)</f>
        <v>N/A</v>
      </c>
      <c r="J34" s="103" t="s">
        <v>420</v>
      </c>
    </row>
    <row r="35" spans="1:10">
      <c r="A35" s="99">
        <v>33</v>
      </c>
      <c r="B35" s="99" t="s">
        <v>80</v>
      </c>
      <c r="C35" s="99" t="s">
        <v>12</v>
      </c>
      <c r="D35" s="99" t="s">
        <v>2</v>
      </c>
      <c r="E35" s="104">
        <f>IF(E$2="N/A","N/A",
CEILING(((Proj_RmMaxBackwSpd/3.6+(INDEX(Veh_MaxAcc,0,1)+Proj_MaxLineGrad*9.8/1000)*(CFG_T_EB_OUT/1000)+(Proj_MaxLineGrad*9.8/1000)*(CFG_T_EB_SETUP/1000))*(CFG_T_EB_OUT+CFG_T_EB_SETUP)/1000+(Proj_RmMaxBackwSpd/3.6+(INDEX(Veh_MaxAcc,0,1)+Proj_MaxLineGrad*9.8/1000)*(CFG_T_EB_OUT/1000)+(Proj_MaxLineGrad*9.8/1000)*(CFG_T_EB_SETUP/1000))^2/(INDEX(Veh_Gebr,0,1)-Proj_MaxLineGrad*9.8/1000)/2+Proj_MaxRollBackDist)*1000,1000))</f>
        <v>82000</v>
      </c>
      <c r="F35" s="104">
        <f>IF(F$2="N/A","N/A",
CEILING(((Proj_RmMaxBackwSpd/3.6+(INDEX(Veh_MaxAcc,0,2)+Proj_MaxLineGrad*9.8/1000)*(CFG_T_EB_OUT/1000)+(Proj_MaxLineGrad*9.8/1000)*(CFG_T_EB_SETUP/1000))*(CFG_T_EB_OUT+CFG_T_EB_SETUP)/1000+(Proj_RmMaxBackwSpd/3.6+(INDEX(Veh_MaxAcc,0,2)+Proj_MaxLineGrad*9.8/1000)*(CFG_T_EB_OUT/1000)+(Proj_MaxLineGrad*9.8/1000)*(CFG_T_EB_SETUP/1000))^2/(INDEX(Veh_Gebr,0,2)-Proj_MaxLineGrad*9.8/1000)/2+Proj_MaxRollBackDist)*1000,1000))</f>
        <v>53000</v>
      </c>
      <c r="G35" s="104">
        <f>IF(G$2="N/A","N/A",
CEILING(((Proj_RmMaxBackwSpd/3.6+(INDEX(Veh_MaxAcc,0,3)+Proj_MaxLineGrad*9.8/1000)*(CFG_T_EB_OUT/1000)+(Proj_MaxLineGrad*9.8/1000)*(CFG_T_EB_SETUP/1000))*(CFG_T_EB_OUT+CFG_T_EB_SETUP)/1000+(Proj_RmMaxBackwSpd/3.6+(INDEX(Veh_MaxAcc,0,3)+Proj_MaxLineGrad*9.8/1000)*(CFG_T_EB_OUT/1000)+(Proj_MaxLineGrad*9.8/1000)*(CFG_T_EB_SETUP/1000))^2/(INDEX(Veh_Gebr,0,3)-Proj_MaxLineGrad*9.8/1000)/2+Proj_MaxRollBackDist)*1000,1000))</f>
        <v>43000</v>
      </c>
      <c r="H35" s="104" t="str">
        <f>IF(H$2="N/A","N/A",
CEILING(((Proj_RmMaxBackwSpd/3.6+(INDEX(Veh_MaxAcc,0,4)+Proj_MaxLineGrad*9.8/1000)*(CFG_T_EB_OUT/1000)+(Proj_MaxLineGrad*9.8/1000)*(CFG_T_EB_SETUP/1000))*(CFG_T_EB_OUT+CFG_T_EB_SETUP)/1000+(Proj_RmMaxBackwSpd/3.6+(INDEX(Veh_MaxAcc,0,4)+Proj_MaxLineGrad*9.8/1000)*(CFG_T_EB_OUT/1000)+(Proj_MaxLineGrad*9.8/1000)*(CFG_T_EB_SETUP/1000))^2/(INDEX(Veh_Gebr,0,4)-Proj_MaxLineGrad*9.8/1000)/2+Proj_MaxRollBackDist)*1000,1000))</f>
        <v>N/A</v>
      </c>
      <c r="I35" s="104" t="str">
        <f>IF(I$2="N/A","N/A",
CEILING(((Proj_RmMaxBackwSpd/3.6+(INDEX(Veh_MaxAcc,0,5)+Proj_MaxLineGrad*9.8/1000)*(CFG_T_EB_OUT/1000)+(Proj_MaxLineGrad*9.8/1000)*(CFG_T_EB_SETUP/1000))*(CFG_T_EB_OUT+CFG_T_EB_SETUP)/1000+(Proj_RmMaxBackwSpd/3.6+(INDEX(Veh_MaxAcc,0,5)+Proj_MaxLineGrad*9.8/1000)*(CFG_T_EB_OUT/1000)+(Proj_MaxLineGrad*9.8/1000)*(CFG_T_EB_SETUP/1000))^2/(INDEX(Veh_Gebr,0,5)-Proj_MaxLineGrad*9.8/1000)/2+Proj_MaxRollBackDist)*1000,1000))</f>
        <v>N/A</v>
      </c>
      <c r="J35" s="103" t="s">
        <v>420</v>
      </c>
    </row>
    <row r="36" spans="1:10" s="105" customFormat="1" ht="37.200000000000003">
      <c r="A36" s="101">
        <v>34</v>
      </c>
      <c r="B36" s="101" t="s">
        <v>81</v>
      </c>
      <c r="C36" s="101" t="s">
        <v>13</v>
      </c>
      <c r="D36" s="101" t="s">
        <v>2</v>
      </c>
      <c r="E36" s="104">
        <f>IF(E$2="N/A","N/A",
CEILING((IF(VALUE(Proj_RmMaxForwSpd)&gt;VALUE(Proj_EumMaxSpd),Proj_RmMaxForwSpd,Proj_EumMaxSpd)/3.6)^2/(2*(MIN(Veh_Gebr)-(Proj_MaxLineGrad*9.8/1000)))*1000,1000))</f>
        <v>164000</v>
      </c>
      <c r="F36" s="104">
        <f>IF(F$2="N/A","N/A",
CEILING((IF(VALUE(Proj_RmMaxForwSpd)&gt;VALUE(Proj_EumMaxSpd),Proj_RmMaxForwSpd,Proj_EumMaxSpd)/3.6)^2/(2*(MIN(Veh_Gebr)-(Proj_MaxLineGrad*9.8/1000)))*1000,1000))</f>
        <v>164000</v>
      </c>
      <c r="G36" s="104">
        <f>IF(G$2="N/A","N/A",
CEILING((IF(VALUE(Proj_RmMaxForwSpd)&gt;VALUE(Proj_EumMaxSpd),Proj_RmMaxForwSpd,Proj_EumMaxSpd)/3.6)^2/(2*(MIN(Veh_Gebr)-(Proj_MaxLineGrad*9.8/1000)))*1000,1000))</f>
        <v>164000</v>
      </c>
      <c r="H36" s="104" t="str">
        <f>IF(H$2="N/A","N/A",
CEILING((IF(VALUE(Proj_RmMaxForwSpd)&gt;VALUE(Proj_EumMaxSpd),Proj_RmMaxForwSpd,Proj_EumMaxSpd)/3.6)^2/(2*(MIN(Veh_Gebr)-(Proj_MaxLineGrad*9.8/1000)))*1000,1000))</f>
        <v>N/A</v>
      </c>
      <c r="I36" s="104" t="str">
        <f>IF(I$2="N/A","N/A",
CEILING((IF(VALUE(Proj_RmMaxForwSpd)&gt;VALUE(Proj_EumMaxSpd),Proj_RmMaxForwSpd,Proj_EumMaxSpd)/3.6)^2/(2*(MIN(Veh_Gebr)-(Proj_MaxLineGrad*9.8/1000)))*1000,1000))</f>
        <v>N/A</v>
      </c>
      <c r="J36" s="86" t="s">
        <v>675</v>
      </c>
    </row>
    <row r="37" spans="1:10" ht="26.4">
      <c r="A37" s="101">
        <v>35</v>
      </c>
      <c r="B37" s="101" t="s">
        <v>183</v>
      </c>
      <c r="C37" s="101" t="s">
        <v>676</v>
      </c>
      <c r="D37" s="101" t="s">
        <v>184</v>
      </c>
      <c r="E37" s="101" t="s">
        <v>418</v>
      </c>
      <c r="F37" s="101" t="s">
        <v>418</v>
      </c>
      <c r="G37" s="101" t="s">
        <v>418</v>
      </c>
      <c r="H37" s="101" t="s">
        <v>418</v>
      </c>
      <c r="I37" s="101" t="s">
        <v>418</v>
      </c>
      <c r="J37" s="103" t="s">
        <v>665</v>
      </c>
    </row>
    <row r="38" spans="1:10" ht="38.4">
      <c r="A38" s="101">
        <v>36</v>
      </c>
      <c r="B38" s="101" t="s">
        <v>185</v>
      </c>
      <c r="C38" s="101" t="s">
        <v>677</v>
      </c>
      <c r="D38" s="101" t="s">
        <v>184</v>
      </c>
      <c r="E38" s="101" t="s">
        <v>418</v>
      </c>
      <c r="F38" s="101" t="s">
        <v>418</v>
      </c>
      <c r="G38" s="101" t="s">
        <v>418</v>
      </c>
      <c r="H38" s="101" t="s">
        <v>418</v>
      </c>
      <c r="I38" s="101" t="s">
        <v>418</v>
      </c>
      <c r="J38" s="103" t="s">
        <v>665</v>
      </c>
    </row>
    <row r="39" spans="1:10">
      <c r="A39" s="101">
        <v>37</v>
      </c>
      <c r="B39" s="101" t="s">
        <v>196</v>
      </c>
      <c r="C39" s="101" t="s">
        <v>678</v>
      </c>
      <c r="D39" s="101" t="s">
        <v>186</v>
      </c>
      <c r="E39" s="101" t="s">
        <v>418</v>
      </c>
      <c r="F39" s="101" t="s">
        <v>418</v>
      </c>
      <c r="G39" s="101" t="s">
        <v>418</v>
      </c>
      <c r="H39" s="101" t="s">
        <v>418</v>
      </c>
      <c r="I39" s="101" t="s">
        <v>418</v>
      </c>
      <c r="J39" s="103" t="s">
        <v>665</v>
      </c>
    </row>
    <row r="40" spans="1:10" ht="50.4">
      <c r="A40" s="101">
        <v>38</v>
      </c>
      <c r="B40" s="101" t="s">
        <v>321</v>
      </c>
      <c r="C40" s="101" t="s">
        <v>679</v>
      </c>
      <c r="D40" s="101" t="s">
        <v>184</v>
      </c>
      <c r="E40" s="101" t="s">
        <v>418</v>
      </c>
      <c r="F40" s="101" t="s">
        <v>418</v>
      </c>
      <c r="G40" s="101" t="s">
        <v>418</v>
      </c>
      <c r="H40" s="101" t="s">
        <v>418</v>
      </c>
      <c r="I40" s="101" t="s">
        <v>418</v>
      </c>
      <c r="J40" s="103" t="s">
        <v>665</v>
      </c>
    </row>
    <row r="41" spans="1:10">
      <c r="A41" s="99">
        <v>39</v>
      </c>
      <c r="B41" s="99" t="s">
        <v>105</v>
      </c>
      <c r="C41" s="99" t="s">
        <v>680</v>
      </c>
      <c r="D41" s="99" t="s">
        <v>2</v>
      </c>
      <c r="E41" s="104">
        <f>IF(E$2="N/A","N/A",CEILING(
(IF(Proj_ReverseTractCmd="false",
SQRT(2*Proj_MaxLineGrad*9.8/1000*CFG_D_ROLL_AWAY_DETECT)+Proj_MaxLineGrad*9.8/1000*(CFG_T_EB_OUT+CFG_T_EB_SETUP)/1000,
SQRT(2*(Proj_MaxLineGrad*9.8/1000+INDEX(Veh_MaxAcc,0,1))*CFG_D_ROLL_AWAY_DETECT)+Proj_MaxLineGrad*9.8/1000*(CFG_T_EB_OUT+CFG_T_EB_SETUP)/1000+INDEX(Veh_MaxAcc,0,1)*CFG_T_EB_OUT/1000)^2/2/(Proj_MaxLineGrad*9.8/1000)
+IF(Proj_ReverseTractCmd="false",
SQRT(2*Proj_MaxLineGrad*9.8/1000*CFG_D_ROLL_AWAY_DETECT)+Proj_MaxLineGrad*9.8/1000*(CFG_T_EB_OUT+CFG_T_EB_SETUP)/1000,
SQRT(2*(Proj_MaxLineGrad*9.8/1000+INDEX(Veh_MaxAcc,0,1))*CFG_D_ROLL_AWAY_DETECT)+Proj_MaxLineGrad*9.8/1000*(CFG_T_EB_OUT+CFG_T_EB_SETUP)/1000+INDEX(Veh_MaxAcc,0,1)*CFG_T_EB_OUT/1000)^2/2/(INDEX(Veh_Gebr,0,1)-Proj_MaxLineGrad*9.8/1000))*1000,
1000))</f>
        <v>76000</v>
      </c>
      <c r="F41" s="104">
        <f>IF(F$2="N/A","N/A",CEILING(
(IF(Proj_ReverseTractCmd="false",
SQRT(2*Proj_MaxLineGrad*9.8/1000*CFG_D_ROLL_AWAY_DETECT)+Proj_MaxLineGrad*9.8/1000*(CFG_T_EB_OUT+CFG_T_EB_SETUP)/1000,
SQRT(2*(Proj_MaxLineGrad*9.8/1000+INDEX(Veh_MaxAcc,0,2))*CFG_D_ROLL_AWAY_DETECT)+Proj_MaxLineGrad*9.8/1000*(CFG_T_EB_OUT+CFG_T_EB_SETUP)/1000+INDEX(Veh_MaxAcc,0,2)*CFG_T_EB_OUT/1000)^2/2/(Proj_MaxLineGrad*9.8/1000)
+IF(Proj_ReverseTractCmd="false",
SQRT(2*Proj_MaxLineGrad*9.8/1000*CFG_D_ROLL_AWAY_DETECT)+Proj_MaxLineGrad*9.8/1000*(CFG_T_EB_OUT+CFG_T_EB_SETUP)/1000,
SQRT(2*(Proj_MaxLineGrad*9.8/1000+INDEX(Veh_MaxAcc,0,2))*CFG_D_ROLL_AWAY_DETECT)+Proj_MaxLineGrad*9.8/1000*(CFG_T_EB_OUT+CFG_T_EB_SETUP)/1000+INDEX(Veh_MaxAcc,0,2)*CFG_T_EB_OUT/1000)^2/2/(INDEX(Veh_Gebr,0,2)-Proj_MaxLineGrad*9.8/1000))*1000,
1000))</f>
        <v>49000</v>
      </c>
      <c r="G41" s="104">
        <f>IF(G$2="N/A","N/A",CEILING(
(IF(Proj_ReverseTractCmd="false",
SQRT(2*Proj_MaxLineGrad*9.8/1000*CFG_D_ROLL_AWAY_DETECT)+Proj_MaxLineGrad*9.8/1000*(CFG_T_EB_OUT+CFG_T_EB_SETUP)/1000,
SQRT(2*(Proj_MaxLineGrad*9.8/1000+INDEX(Veh_MaxAcc,0,3))*CFG_D_ROLL_AWAY_DETECT)+Proj_MaxLineGrad*9.8/1000*(CFG_T_EB_OUT+CFG_T_EB_SETUP)/1000+INDEX(Veh_MaxAcc,0,3)*CFG_T_EB_OUT/1000)^2/2/(Proj_MaxLineGrad*9.8/1000)
+IF(Proj_ReverseTractCmd="false",
SQRT(2*Proj_MaxLineGrad*9.8/1000*CFG_D_ROLL_AWAY_DETECT)+Proj_MaxLineGrad*9.8/1000*(CFG_T_EB_OUT+CFG_T_EB_SETUP)/1000,
SQRT(2*(Proj_MaxLineGrad*9.8/1000+INDEX(Veh_MaxAcc,0,3))*CFG_D_ROLL_AWAY_DETECT)+Proj_MaxLineGrad*9.8/1000*(CFG_T_EB_OUT+CFG_T_EB_SETUP)/1000+INDEX(Veh_MaxAcc,0,3)*CFG_T_EB_OUT/1000)^2/2/(INDEX(Veh_Gebr,0,3)-Proj_MaxLineGrad*9.8/1000))*1000,
1000))</f>
        <v>40000</v>
      </c>
      <c r="H41" s="104" t="str">
        <f>IF(H$2="N/A","N/A",CEILING(
(IF(Proj_ReverseTractCmd="false",
SQRT(2*Proj_MaxLineGrad*9.8/1000*CFG_D_ROLL_AWAY_DETECT)+Proj_MaxLineGrad*9.8/1000*(CFG_T_EB_OUT+CFG_T_EB_SETUP)/1000,
SQRT(2*(Proj_MaxLineGrad*9.8/1000+INDEX(Veh_MaxAcc,0,4))*CFG_D_ROLL_AWAY_DETECT)+Proj_MaxLineGrad*9.8/1000*(CFG_T_EB_OUT+CFG_T_EB_SETUP)/1000+INDEX(Veh_MaxAcc,0,4)*CFG_T_EB_OUT/1000)^2/2/(Proj_MaxLineGrad*9.8/1000)
+IF(Proj_ReverseTractCmd="false",
SQRT(2*Proj_MaxLineGrad*9.8/1000*CFG_D_ROLL_AWAY_DETECT)+Proj_MaxLineGrad*9.8/1000*(CFG_T_EB_OUT+CFG_T_EB_SETUP)/1000,
SQRT(2*(Proj_MaxLineGrad*9.8/1000+INDEX(Veh_MaxAcc,0,4))*CFG_D_ROLL_AWAY_DETECT)+Proj_MaxLineGrad*9.8/1000*(CFG_T_EB_OUT+CFG_T_EB_SETUP)/1000+INDEX(Veh_MaxAcc,0,4)*CFG_T_EB_OUT/1000)^2/2/(INDEX(Veh_Gebr,0,4)-Proj_MaxLineGrad*9.8/1000))*1000,
1000))</f>
        <v>N/A</v>
      </c>
      <c r="I41" s="104" t="str">
        <f>IF(I$2="N/A","N/A",CEILING(
(IF(Proj_ReverseTractCmd="false",
SQRT(2*Proj_MaxLineGrad*9.8/1000*CFG_D_ROLL_AWAY_DETECT)+Proj_MaxLineGrad*9.8/1000*(CFG_T_EB_OUT+CFG_T_EB_SETUP)/1000,
SQRT(2*(Proj_MaxLineGrad*9.8/1000+INDEX(Veh_MaxAcc,0,5))*CFG_D_ROLL_AWAY_DETECT)+Proj_MaxLineGrad*9.8/1000*(CFG_T_EB_OUT+CFG_T_EB_SETUP)/1000+INDEX(Veh_MaxAcc,0,5)*CFG_T_EB_OUT/1000)^2/2/(Proj_MaxLineGrad*9.8/1000)
+IF(Proj_ReverseTractCmd="false",
SQRT(2*Proj_MaxLineGrad*9.8/1000*CFG_D_ROLL_AWAY_DETECT)+Proj_MaxLineGrad*9.8/1000*(CFG_T_EB_OUT+CFG_T_EB_SETUP)/1000,
SQRT(2*(Proj_MaxLineGrad*9.8/1000+INDEX(Veh_MaxAcc,0,5))*CFG_D_ROLL_AWAY_DETECT)+Proj_MaxLineGrad*9.8/1000*(CFG_T_EB_OUT+CFG_T_EB_SETUP)/1000+INDEX(Veh_MaxAcc,0,5)*CFG_T_EB_OUT/1000)^2/2/(INDEX(Veh_Gebr,0,5)-Proj_MaxLineGrad*9.8/1000))*1000,
1000))</f>
        <v>N/A</v>
      </c>
      <c r="J41" s="103" t="s">
        <v>420</v>
      </c>
    </row>
    <row r="42" spans="1:10">
      <c r="A42" s="99">
        <v>40</v>
      </c>
      <c r="B42" s="99" t="s">
        <v>82</v>
      </c>
      <c r="C42" s="99" t="s">
        <v>69</v>
      </c>
      <c r="D42" s="99" t="s">
        <v>40</v>
      </c>
      <c r="E42" s="101" t="str">
        <f>IF(E$2="N/A","N/A",Conf_MaxSlideBackDist)</f>
        <v>0.5</v>
      </c>
      <c r="F42" s="101" t="str">
        <f>IF(F$2="N/A","N/A",Conf_MaxSlideBackDist)</f>
        <v>0.5</v>
      </c>
      <c r="G42" s="101" t="str">
        <f>IF(G$2="N/A","N/A",Conf_MaxSlideBackDist)</f>
        <v>0.5</v>
      </c>
      <c r="H42" s="101" t="str">
        <f>IF(H$2="N/A","N/A",Conf_MaxSlideBackDist)</f>
        <v>N/A</v>
      </c>
      <c r="I42" s="101" t="str">
        <f>IF(I$2="N/A","N/A",Conf_MaxSlideBackDist)</f>
        <v>N/A</v>
      </c>
      <c r="J42" s="100"/>
    </row>
    <row r="43" spans="1:10" ht="37.200000000000003">
      <c r="A43" s="99">
        <v>41</v>
      </c>
      <c r="B43" s="99" t="s">
        <v>424</v>
      </c>
      <c r="C43" s="99" t="s">
        <v>681</v>
      </c>
      <c r="D43" s="99" t="s">
        <v>127</v>
      </c>
      <c r="E43" s="104">
        <f>IF(E$2="N/A","N/A",FLOOR(
(MIN((SQRT((2*INDEX(Veh_MaxAcc,0,1)*INDEX(Veh_Gebr,0,1)*CFG_T_EB_SETUP/1000)^2+4*(INDEX(Veh_MaxAcc,0,1)+INDEX(Veh_Gebr,0,1))*(INDEX(Veh_MaxAcc,0,1)*(Equ_CollisionSpd/3.6)^2+2*INDEX(Veh_MaxAcc,0,1)*INDEX(Veh_Gebr,0,1)*(Proj_MinSp2EndJumpDist-(Proj_BeaconFixDiff+Equ_BeaconReadDiff)-(Proj_MaxDistBcn2SpJump-INDEX(Veh_Hook2Ante,0,1))*2/Proj_LineSpdLimit)))-2*INDEX(Veh_MaxAcc,0,1)*INDEX(Veh_Gebr,0,1)*CFG_T_EB_SETUP/1000)/2/(INDEX(Veh_MaxAcc,0,1)+INDEX(Veh_Gebr,0,1)),
(SQRT((2*INDEX(Veh_MaxAcc,0,1)*INDEX(Veh_Gebr,0,1)*CFG_T_EB_SETUP/1000)^2+4*(INDEX(Veh_MaxAcc,0,1)+INDEX(Veh_Gebr,0,1))*(2*INDEX(Veh_MaxAcc,0,1)*INDEX(Veh_Gebr,0,1)*(Proj_MinSp2SigJumpDist-(Proj_BeaconFixDiff+Equ_BeaconReadDiff)-(Proj_MaxDistBcn2SpJump-INDEX(Veh_Hook2Ante,0,1))*2/Proj_LineSpdLimit)))-2*INDEX(Veh_MaxAcc,0,1)*INDEX(Veh_Gebr,0,1)*CFG_T_EB_SETUP/1000)/2/(INDEX(Veh_MaxAcc,0,1)+INDEX(Veh_Gebr,0,1)))-INDEX(Veh_MaxAcc,0,1)*CFG_T_EB_OUT/1000)*3.6,
0.01))</f>
        <v>1.2</v>
      </c>
      <c r="F43" s="104">
        <f>IF(F$2="N/A","N/A",FLOOR(
(MIN((SQRT((2*INDEX(Veh_MaxAcc,0,2)*INDEX(Veh_Gebr,0,2)*CFG_T_EB_SETUP/1000)^2+4*(INDEX(Veh_MaxAcc,0,2)+INDEX(Veh_Gebr,0,2))*(INDEX(Veh_MaxAcc,0,2)*(Equ_CollisionSpd/3.6)^2+2*INDEX(Veh_MaxAcc,0,2)*INDEX(Veh_Gebr,0,2)*(Proj_MinSp2EndJumpDist-(Proj_BeaconFixDiff+Equ_BeaconReadDiff)-(Proj_MaxDistBcn2SpJump-INDEX(Veh_Hook2Ante,0,2))*2/Proj_LineSpdLimit)))-2*INDEX(Veh_MaxAcc,0,2)*INDEX(Veh_Gebr,0,2)*CFG_T_EB_SETUP/1000)/2/(INDEX(Veh_MaxAcc,0,2)+INDEX(Veh_Gebr,0,2)),
(SQRT((2*INDEX(Veh_MaxAcc,0,2)*INDEX(Veh_Gebr,0,2)*CFG_T_EB_SETUP/1000)^2+4*(INDEX(Veh_MaxAcc,0,2)+INDEX(Veh_Gebr,0,2))*(2*INDEX(Veh_MaxAcc,0,2)*INDEX(Veh_Gebr,0,2)*(Proj_MinSp2SigJumpDist-(Proj_BeaconFixDiff+Equ_BeaconReadDiff)-(Proj_MaxDistBcn2SpJump-INDEX(Veh_Hook2Ante,0,2))*2/Proj_LineSpdLimit)))-2*INDEX(Veh_MaxAcc,0,2)*INDEX(Veh_Gebr,0,2)*CFG_T_EB_SETUP/1000)/2/(INDEX(Veh_MaxAcc,0,2)+INDEX(Veh_Gebr,0,2)))-INDEX(Veh_MaxAcc,0,2)*CFG_T_EB_OUT/1000)*3.6,
0.01))</f>
        <v>1.46</v>
      </c>
      <c r="G43" s="104">
        <f>IF(G$2="N/A","N/A",FLOOR(
(MIN((SQRT((2*INDEX(Veh_MaxAcc,0,3)*INDEX(Veh_Gebr,0,3)*CFG_T_EB_SETUP/1000)^2+4*(INDEX(Veh_MaxAcc,0,3)+INDEX(Veh_Gebr,0,3))*(INDEX(Veh_MaxAcc,0,3)*(Equ_CollisionSpd/3.6)^2+2*INDEX(Veh_MaxAcc,0,3)*INDEX(Veh_Gebr,0,3)*(Proj_MinSp2EndJumpDist-(Proj_BeaconFixDiff+Equ_BeaconReadDiff)-(Proj_MaxDistBcn2SpJump-INDEX(Veh_Hook2Ante,0,3))*2/Proj_LineSpdLimit)))-2*INDEX(Veh_MaxAcc,0,3)*INDEX(Veh_Gebr,0,3)*CFG_T_EB_SETUP/1000)/2/(INDEX(Veh_MaxAcc,0,3)+INDEX(Veh_Gebr,0,3)),
(SQRT((2*INDEX(Veh_MaxAcc,0,3)*INDEX(Veh_Gebr,0,3)*CFG_T_EB_SETUP/1000)^2+4*(INDEX(Veh_MaxAcc,0,3)+INDEX(Veh_Gebr,0,3))*(2*INDEX(Veh_MaxAcc,0,3)*INDEX(Veh_Gebr,0,3)*(Proj_MinSp2SigJumpDist-(Proj_BeaconFixDiff+Equ_BeaconReadDiff)-(Proj_MaxDistBcn2SpJump-INDEX(Veh_Hook2Ante,0,3))*2/Proj_LineSpdLimit)))-2*INDEX(Veh_MaxAcc,0,3)*INDEX(Veh_Gebr,0,3)*CFG_T_EB_SETUP/1000)/2/(INDEX(Veh_MaxAcc,0,3)+INDEX(Veh_Gebr,0,3)))-INDEX(Veh_MaxAcc,0,3)*CFG_T_EB_OUT/1000)*3.6,
0.01))</f>
        <v>1.6600000000000001</v>
      </c>
      <c r="H43" s="104" t="str">
        <f>IF(H$2="N/A","N/A",FLOOR(
(MIN((SQRT((2*INDEX(Veh_MaxAcc,0,4)*INDEX(Veh_Gebr,0,4)*CFG_T_EB_SETUP/1000)^2+4*(INDEX(Veh_MaxAcc,0,4)+INDEX(Veh_Gebr,0,4))*(INDEX(Veh_MaxAcc,0,4)*(Equ_CollisionSpd/3.6)^2+2*INDEX(Veh_MaxAcc,0,4)*INDEX(Veh_Gebr,0,4)*(Proj_MinSp2EndJumpDist-(Proj_BeaconFixDiff+Equ_BeaconReadDiff)-(Proj_MaxDistBcn2SpJump-INDEX(Veh_Hook2Ante,0,4))*2/Proj_LineSpdLimit)))-2*INDEX(Veh_MaxAcc,0,4)*INDEX(Veh_Gebr,0,4)*CFG_T_EB_SETUP/1000)/2/(INDEX(Veh_MaxAcc,0,4)+INDEX(Veh_Gebr,0,4)),
(SQRT((2*INDEX(Veh_MaxAcc,0,4)*INDEX(Veh_Gebr,0,4)*CFG_T_EB_SETUP/1000)^2+4*(INDEX(Veh_MaxAcc,0,4)+INDEX(Veh_Gebr,0,4))*(2*INDEX(Veh_MaxAcc,0,4)*INDEX(Veh_Gebr,0,4)*(Proj_MinSp2SigJumpDist-(Proj_BeaconFixDiff+Equ_BeaconReadDiff)-(Proj_MaxDistBcn2SpJump-INDEX(Veh_Hook2Ante,0,4))*2/Proj_LineSpdLimit)))-2*INDEX(Veh_MaxAcc,0,4)*INDEX(Veh_Gebr,0,4)*CFG_T_EB_SETUP/1000)/2/(INDEX(Veh_MaxAcc,0,4)+INDEX(Veh_Gebr,0,4)))-INDEX(Veh_MaxAcc,0,4)*CFG_T_EB_OUT/1000)*3.6,
0.01))</f>
        <v>N/A</v>
      </c>
      <c r="I43" s="104" t="str">
        <f>IF(I$2="N/A","N/A",FLOOR(
(MIN((SQRT((2*INDEX(Veh_MaxAcc,0,5)*INDEX(Veh_Gebr,0,5)*CFG_T_EB_SETUP/1000)^2+4*(INDEX(Veh_MaxAcc,0,5)+INDEX(Veh_Gebr,0,5))*(INDEX(Veh_MaxAcc,0,5)*(Equ_CollisionSpd/3.6)^2+2*INDEX(Veh_MaxAcc,0,5)*INDEX(Veh_Gebr,0,5)*(Proj_MinSp2EndJumpDist-(Proj_BeaconFixDiff+Equ_BeaconReadDiff)-(Proj_MaxDistBcn2SpJump-INDEX(Veh_Hook2Ante,0,5))*2/Proj_LineSpdLimit)))-2*INDEX(Veh_MaxAcc,0,5)*INDEX(Veh_Gebr,0,5)*CFG_T_EB_SETUP/1000)/2/(INDEX(Veh_MaxAcc,0,5)+INDEX(Veh_Gebr,0,5)),
(SQRT((2*INDEX(Veh_MaxAcc,0,5)*INDEX(Veh_Gebr,0,5)*CFG_T_EB_SETUP/1000)^2+4*(INDEX(Veh_MaxAcc,0,5)+INDEX(Veh_Gebr,0,5))*(2*INDEX(Veh_MaxAcc,0,5)*INDEX(Veh_Gebr,0,5)*(Proj_MinSp2SigJumpDist-(Proj_BeaconFixDiff+Equ_BeaconReadDiff)-(Proj_MaxDistBcn2SpJump-INDEX(Veh_Hook2Ante,0,5))*2/Proj_LineSpdLimit)))-2*INDEX(Veh_MaxAcc,0,5)*INDEX(Veh_Gebr,0,5)*CFG_T_EB_SETUP/1000)/2/(INDEX(Veh_MaxAcc,0,5)+INDEX(Veh_Gebr,0,5)))-INDEX(Veh_MaxAcc,0,5)*CFG_T_EB_OUT/1000)*3.6,
0.01))</f>
        <v>N/A</v>
      </c>
      <c r="J43" s="103" t="s">
        <v>420</v>
      </c>
    </row>
    <row r="44" spans="1:10">
      <c r="A44" s="99">
        <v>42</v>
      </c>
      <c r="B44" s="99" t="s">
        <v>199</v>
      </c>
      <c r="C44" s="99" t="s">
        <v>682</v>
      </c>
      <c r="D44" s="99" t="s">
        <v>126</v>
      </c>
      <c r="E44" s="104">
        <f>IF(E$2="N/A","N/A",FLOOR(
(CFG_V_MAX_JUMP_DEPOT/3.6)^2/2/INDEX(Veh_MaxAcc,0,1)*1000,
0.01))</f>
        <v>63.13</v>
      </c>
      <c r="F44" s="104">
        <f>IF(F$2="N/A","N/A",FLOOR(
(CFG_V_MAX_JUMP_DEPOT/3.6)^2/2/INDEX(Veh_MaxAcc,0,2)*1000,
0.01))</f>
        <v>63.13</v>
      </c>
      <c r="G44" s="104">
        <f>IF(G$2="N/A","N/A",FLOOR(
(CFG_V_MAX_JUMP_DEPOT/3.6)^2/2/INDEX(Veh_MaxAcc,0,3)*1000,
0.01))</f>
        <v>63.13</v>
      </c>
      <c r="H44" s="104" t="str">
        <f>IF(H$2="N/A","N/A",FLOOR(
(CFG_V_MAX_JUMP_DEPOT/3.6)^2/2/INDEX(Veh_MaxAcc,0,4)*1000,
0.01))</f>
        <v>N/A</v>
      </c>
      <c r="I44" s="104" t="str">
        <f>IF(I$2="N/A","N/A",FLOOR(
(CFG_V_MAX_JUMP_DEPOT/3.6)^2/2/INDEX(Veh_MaxAcc,0,5)*1000,
0.01))</f>
        <v>N/A</v>
      </c>
      <c r="J44" s="103" t="s">
        <v>420</v>
      </c>
    </row>
    <row r="45" spans="1:10" ht="25.2">
      <c r="A45" s="99">
        <v>43</v>
      </c>
      <c r="B45" s="99" t="s">
        <v>201</v>
      </c>
      <c r="C45" s="99" t="s">
        <v>683</v>
      </c>
      <c r="D45" s="99" t="s">
        <v>133</v>
      </c>
      <c r="E45" s="104">
        <f>IF(E$2="N/A","N/A",FLOOR(
MIN(5+2,
MIN(INDEX(Veh_Gebr,0,1)*(SQRT((INDEX(Veh_MaxAcc,0,1)/INDEX(Veh_Gebr,0,1)*CFG_T_EB_OUT/1000+CFG_T_EB_OUT/1000+CFG_T_EB_SETUP/1000)^2-2/INDEX(Veh_Gebr,0,1)*(INDEX(Veh_MaxAcc,0,1)*(CFG_T_EB_OUT/1000)^2/2+INDEX(Veh_MaxAcc,0,1)*CFG_T_EB_OUT/1000*CFG_T_EB_SETUP/1000+(INDEX(Veh_MaxAcc,0,1)^2*(CFG_T_EB_OUT/1000)^2-(Equ_CollisionSpd/3.6)^2)/(2*INDEX(Veh_Gebr,0,1))-(Proj_MinSp2EndOpenDist-(Proj_BeaconFixDiff+Equ_BeaconReadDiff)-(Proj_MaxDistBcn2SpOpen-INDEX(Veh_Hook2Ante,0,1))*2/Proj_LineSpdLimit)))-(INDEX(Veh_MaxAcc,0,1)/INDEX(Veh_Gebr,0,1)*CFG_T_EB_OUT/1000+CFG_T_EB_OUT/1000+CFG_T_EB_SETUP/1000))*3.6,
INDEX(Veh_Gebr,0,1)*(SQRT((INDEX(Veh_MaxAcc,0,1)/INDEX(Veh_Gebr,0,1)*CFG_T_EB_OUT/1000+CFG_T_EB_OUT/1000+CFG_T_EB_SETUP/1000)^2-2/INDEX(Veh_Gebr,0,1)*(INDEX(Veh_MaxAcc,0,1)*(CFG_T_EB_OUT/1000)^2/2+INDEX(Veh_MaxAcc,0,1)*CFG_T_EB_OUT/1000*CFG_T_EB_SETUP/1000+(INDEX(Veh_MaxAcc,0,1)^2*(CFG_T_EB_OUT/1000)^2-(INDEX(Veh_CollisionSpd,0,1)/3.6)^2)/(2*INDEX(Veh_Gebr,0,1))-(Proj_MinSp2HookOpenDist-(Proj_BeaconFixDiff+Equ_BeaconReadDiff)-(Proj_MaxDistBcn2SpOpen-INDEX(Veh_Hook2Ante,0,1))*2/Proj_LineSpdLimit)))-(INDEX(Veh_MaxAcc,0,1)/INDEX(Veh_Gebr,0,1)*CFG_T_EB_OUT/1000+CFG_T_EB_OUT/1000+CFG_T_EB_SETUP/1000))*3.6)
),
0.01))</f>
        <v>5.09</v>
      </c>
      <c r="F45" s="104">
        <f>IF(F$2="N/A","N/A",FLOOR(
MIN(5+2,
MIN(INDEX(Veh_Gebr,0,2)*(SQRT((INDEX(Veh_MaxAcc,0,2)/INDEX(Veh_Gebr,0,2)*CFG_T_EB_OUT/1000+CFG_T_EB_OUT/1000+CFG_T_EB_SETUP/1000)^2-2/INDEX(Veh_Gebr,0,2)*(INDEX(Veh_MaxAcc,0,2)*(CFG_T_EB_OUT/1000)^2/2+INDEX(Veh_MaxAcc,0,2)*CFG_T_EB_OUT/1000*CFG_T_EB_SETUP/1000+(INDEX(Veh_MaxAcc,0,2)^2*(CFG_T_EB_OUT/1000)^2-(Equ_CollisionSpd/3.6)^2)/(2*INDEX(Veh_Gebr,0,2))-(Proj_MinSp2EndOpenDist-(Proj_BeaconFixDiff+Equ_BeaconReadDiff)-(Proj_MaxDistBcn2SpOpen-INDEX(Veh_Hook2Ante,0,2))*2/Proj_LineSpdLimit)))-(INDEX(Veh_MaxAcc,0,2)/INDEX(Veh_Gebr,0,2)*CFG_T_EB_OUT/1000+CFG_T_EB_OUT/1000+CFG_T_EB_SETUP/1000))*3.6,
INDEX(Veh_Gebr,0,2)*(SQRT((INDEX(Veh_MaxAcc,0,2)/INDEX(Veh_Gebr,0,2)*CFG_T_EB_OUT/1000+CFG_T_EB_OUT/1000+CFG_T_EB_SETUP/1000)^2-2/INDEX(Veh_Gebr,0,2)*(INDEX(Veh_MaxAcc,0,2)*(CFG_T_EB_OUT/1000)^2/2+INDEX(Veh_MaxAcc,0,2)*CFG_T_EB_OUT/1000*CFG_T_EB_SETUP/1000+(INDEX(Veh_MaxAcc,0,2)^2*(CFG_T_EB_OUT/1000)^2-(INDEX(Veh_CollisionSpd,0,2)/3.6)^2)/(2*INDEX(Veh_Gebr,0,2))-(Proj_MinSp2HookOpenDist-(Proj_BeaconFixDiff+Equ_BeaconReadDiff)-(Proj_MaxDistBcn2SpOpen-INDEX(Veh_Hook2Ante,0,2))*2/Proj_LineSpdLimit)))-(INDEX(Veh_MaxAcc,0,2)/INDEX(Veh_Gebr,0,2)*CFG_T_EB_OUT/1000+CFG_T_EB_OUT/1000+CFG_T_EB_SETUP/1000))*3.6)
),
0.01))</f>
        <v>5.71</v>
      </c>
      <c r="G45" s="104">
        <f>IF(G$2="N/A","N/A",FLOOR(
MIN(5+2,
MIN(INDEX(Veh_Gebr,0,3)*(SQRT((INDEX(Veh_MaxAcc,0,3)/INDEX(Veh_Gebr,0,3)*CFG_T_EB_OUT/1000+CFG_T_EB_OUT/1000+CFG_T_EB_SETUP/1000)^2-2/INDEX(Veh_Gebr,0,3)*(INDEX(Veh_MaxAcc,0,3)*(CFG_T_EB_OUT/1000)^2/2+INDEX(Veh_MaxAcc,0,3)*CFG_T_EB_OUT/1000*CFG_T_EB_SETUP/1000+(INDEX(Veh_MaxAcc,0,3)^2*(CFG_T_EB_OUT/1000)^2-(Equ_CollisionSpd/3.6)^2)/(2*INDEX(Veh_Gebr,0,3))-(Proj_MinSp2EndOpenDist-(Proj_BeaconFixDiff+Equ_BeaconReadDiff)-(Proj_MaxDistBcn2SpOpen-INDEX(Veh_Hook2Ante,0,3))*2/Proj_LineSpdLimit)))-(INDEX(Veh_MaxAcc,0,3)/INDEX(Veh_Gebr,0,3)*CFG_T_EB_OUT/1000+CFG_T_EB_OUT/1000+CFG_T_EB_SETUP/1000))*3.6,
INDEX(Veh_Gebr,0,3)*(SQRT((INDEX(Veh_MaxAcc,0,3)/INDEX(Veh_Gebr,0,3)*CFG_T_EB_OUT/1000+CFG_T_EB_OUT/1000+CFG_T_EB_SETUP/1000)^2-2/INDEX(Veh_Gebr,0,3)*(INDEX(Veh_MaxAcc,0,3)*(CFG_T_EB_OUT/1000)^2/2+INDEX(Veh_MaxAcc,0,3)*CFG_T_EB_OUT/1000*CFG_T_EB_SETUP/1000+(INDEX(Veh_MaxAcc,0,3)^2*(CFG_T_EB_OUT/1000)^2-(INDEX(Veh_CollisionSpd,0,3)/3.6)^2)/(2*INDEX(Veh_Gebr,0,3))-(Proj_MinSp2HookOpenDist-(Proj_BeaconFixDiff+Equ_BeaconReadDiff)-(Proj_MaxDistBcn2SpOpen-INDEX(Veh_Hook2Ante,0,3))*2/Proj_LineSpdLimit)))-(INDEX(Veh_MaxAcc,0,3)/INDEX(Veh_Gebr,0,3)*CFG_T_EB_OUT/1000+CFG_T_EB_OUT/1000+CFG_T_EB_SETUP/1000))*3.6)
),
0.01))</f>
        <v>6.2</v>
      </c>
      <c r="H45" s="104" t="str">
        <f>IF(H$2="N/A","N/A",FLOOR(
MIN(5+2,
MIN(INDEX(Veh_Gebr,0,4)*(SQRT((INDEX(Veh_MaxAcc,0,4)/INDEX(Veh_Gebr,0,4)*CFG_T_EB_OUT/1000+CFG_T_EB_OUT/1000+CFG_T_EB_SETUP/1000)^2-2/INDEX(Veh_Gebr,0,4)*(INDEX(Veh_MaxAcc,0,4)*(CFG_T_EB_OUT/1000)^2/2+INDEX(Veh_MaxAcc,0,4)*CFG_T_EB_OUT/1000*CFG_T_EB_SETUP/1000+(INDEX(Veh_MaxAcc,0,4)^2*(CFG_T_EB_OUT/1000)^2-(Equ_CollisionSpd/3.6)^2)/(2*INDEX(Veh_Gebr,0,4))-(Proj_MinSp2EndOpenDist-(Proj_BeaconFixDiff+Equ_BeaconReadDiff)-(Proj_MaxDistBcn2SpOpen-INDEX(Veh_Hook2Ante,0,4))*2/Proj_LineSpdLimit)))-(INDEX(Veh_MaxAcc,0,4)/INDEX(Veh_Gebr,0,4)*CFG_T_EB_OUT/1000+CFG_T_EB_OUT/1000+CFG_T_EB_SETUP/1000))*3.6,
INDEX(Veh_Gebr,0,4)*(SQRT((INDEX(Veh_MaxAcc,0,4)/INDEX(Veh_Gebr,0,4)*CFG_T_EB_OUT/1000+CFG_T_EB_OUT/1000+CFG_T_EB_SETUP/1000)^2-2/INDEX(Veh_Gebr,0,4)*(INDEX(Veh_MaxAcc,0,4)*(CFG_T_EB_OUT/1000)^2/2+INDEX(Veh_MaxAcc,0,4)*CFG_T_EB_OUT/1000*CFG_T_EB_SETUP/1000+(INDEX(Veh_MaxAcc,0,4)^2*(CFG_T_EB_OUT/1000)^2-(INDEX(Veh_CollisionSpd,0,4)/3.6)^2)/(2*INDEX(Veh_Gebr,0,4))-(Proj_MinSp2HookOpenDist-(Proj_BeaconFixDiff+Equ_BeaconReadDiff)-(Proj_MaxDistBcn2SpOpen-INDEX(Veh_Hook2Ante,0,4))*2/Proj_LineSpdLimit)))-(INDEX(Veh_MaxAcc,0,4)/INDEX(Veh_Gebr,0,4)*CFG_T_EB_OUT/1000+CFG_T_EB_OUT/1000+CFG_T_EB_SETUP/1000))*3.6)
),
0.01))</f>
        <v>N/A</v>
      </c>
      <c r="I45" s="104" t="str">
        <f>IF(I$2="N/A","N/A",FLOOR(
MIN(5+2,
MIN(INDEX(Veh_Gebr,0,5)*(SQRT((INDEX(Veh_MaxAcc,0,5)/INDEX(Veh_Gebr,0,5)*CFG_T_EB_OUT/1000+CFG_T_EB_OUT/1000+CFG_T_EB_SETUP/1000)^2-2/INDEX(Veh_Gebr,0,5)*(INDEX(Veh_MaxAcc,0,5)*(CFG_T_EB_OUT/1000)^2/2+INDEX(Veh_MaxAcc,0,5)*CFG_T_EB_OUT/1000*CFG_T_EB_SETUP/1000+(INDEX(Veh_MaxAcc,0,5)^2*(CFG_T_EB_OUT/1000)^2-(Equ_CollisionSpd/3.6)^2)/(2*INDEX(Veh_Gebr,0,5))-(Proj_MinSp2EndOpenDist-(Proj_BeaconFixDiff+Equ_BeaconReadDiff)-(Proj_MaxDistBcn2SpOpen-INDEX(Veh_Hook2Ante,0,5))*2/Proj_LineSpdLimit)))-(INDEX(Veh_MaxAcc,0,5)/INDEX(Veh_Gebr,0,5)*CFG_T_EB_OUT/1000+CFG_T_EB_OUT/1000+CFG_T_EB_SETUP/1000))*3.6,
INDEX(Veh_Gebr,0,5)*(SQRT((INDEX(Veh_MaxAcc,0,5)/INDEX(Veh_Gebr,0,5)*CFG_T_EB_OUT/1000+CFG_T_EB_OUT/1000+CFG_T_EB_SETUP/1000)^2-2/INDEX(Veh_Gebr,0,5)*(INDEX(Veh_MaxAcc,0,5)*(CFG_T_EB_OUT/1000)^2/2+INDEX(Veh_MaxAcc,0,5)*CFG_T_EB_OUT/1000*CFG_T_EB_SETUP/1000+(INDEX(Veh_MaxAcc,0,5)^2*(CFG_T_EB_OUT/1000)^2-(INDEX(Veh_CollisionSpd,0,5)/3.6)^2)/(2*INDEX(Veh_Gebr,0,5))-(Proj_MinSp2HookOpenDist-(Proj_BeaconFixDiff+Equ_BeaconReadDiff)-(Proj_MaxDistBcn2SpOpen-INDEX(Veh_Hook2Ante,0,5))*2/Proj_LineSpdLimit)))-(INDEX(Veh_MaxAcc,0,5)/INDEX(Veh_Gebr,0,5)*CFG_T_EB_OUT/1000+CFG_T_EB_OUT/1000+CFG_T_EB_SETUP/1000))*3.6)
),
0.01))</f>
        <v>N/A</v>
      </c>
      <c r="J45" s="103" t="s">
        <v>420</v>
      </c>
    </row>
    <row r="46" spans="1:10">
      <c r="A46" s="99">
        <v>44</v>
      </c>
      <c r="B46" s="99" t="s">
        <v>167</v>
      </c>
      <c r="C46" s="99" t="s">
        <v>70</v>
      </c>
      <c r="D46" s="99" t="s">
        <v>25</v>
      </c>
      <c r="E46" s="104">
        <f>IF(E$2="N/A","N/A",Conf_PPUProcTime+Conf_VobOutTime_CC+INDEX(Veh_EbTracCutDelay,0,1))</f>
        <v>1927</v>
      </c>
      <c r="F46" s="104">
        <f>IF(F$2="N/A","N/A",Conf_PPUProcTime+Conf_VobOutTime_CC+INDEX(Veh_EbTracCutDelay,0,2))</f>
        <v>1927</v>
      </c>
      <c r="G46" s="104">
        <f>IF(G$2="N/A","N/A",Conf_PPUProcTime+Conf_VobOutTime_CC+INDEX(Veh_EbTracCutDelay,0,3))</f>
        <v>1927</v>
      </c>
      <c r="H46" s="104" t="str">
        <f>IF(H$2="N/A","N/A",Conf_PPUProcTime+Conf_VobOutTime_CC+INDEX(Veh_EbTracCutDelay,0,4))</f>
        <v>N/A</v>
      </c>
      <c r="I46" s="104" t="str">
        <f>IF(I$2="N/A","N/A",Conf_PPUProcTime+Conf_VobOutTime_CC+INDEX(Veh_EbTracCutDelay,0,5))</f>
        <v>N/A</v>
      </c>
      <c r="J46" s="103" t="s">
        <v>420</v>
      </c>
    </row>
    <row r="47" spans="1:10">
      <c r="A47" s="99">
        <v>45</v>
      </c>
      <c r="B47" s="99" t="s">
        <v>168</v>
      </c>
      <c r="C47" s="99" t="s">
        <v>684</v>
      </c>
      <c r="D47" s="99" t="s">
        <v>25</v>
      </c>
      <c r="E47" s="104">
        <f>IF(E$2="N/A","N/A",INDEX(Veh_GebSetDelay,0,1)+INDEX(Veh_EbCoastTime,0,1))</f>
        <v>1400</v>
      </c>
      <c r="F47" s="104">
        <f>IF(F$2="N/A","N/A",INDEX(Veh_GebSetDelay,0,2)+INDEX(Veh_EbCoastTime,0,2))</f>
        <v>1400</v>
      </c>
      <c r="G47" s="104">
        <f>IF(G$2="N/A","N/A",INDEX(Veh_GebSetDelay,0,3)+INDEX(Veh_EbCoastTime,0,3))</f>
        <v>1400</v>
      </c>
      <c r="H47" s="104" t="str">
        <f>IF(H$2="N/A","N/A",INDEX(Veh_GebSetDelay,0,4)+INDEX(Veh_EbCoastTime,0,4))</f>
        <v>N/A</v>
      </c>
      <c r="I47" s="104" t="str">
        <f>IF(I$2="N/A","N/A",INDEX(Veh_GebSetDelay,0,5)+INDEX(Veh_EbCoastTime,0,5))</f>
        <v>N/A</v>
      </c>
      <c r="J47" s="103" t="s">
        <v>420</v>
      </c>
    </row>
    <row r="48" spans="1:10" ht="26.4">
      <c r="A48" s="99">
        <v>46</v>
      </c>
      <c r="B48" s="99" t="s">
        <v>83</v>
      </c>
      <c r="C48" s="99" t="s">
        <v>6</v>
      </c>
      <c r="D48" s="99" t="s">
        <v>1</v>
      </c>
      <c r="E48" s="99">
        <f>IF(E$2="N/A","N/A",CEILING(
Conf_VobOutTime_CBI
+Equ_PsdRelayEnergDelay
+Equ_PsdProcessDelay
+Equ_PsdClsRelayRlsDelay
+Conf_VibInTime_CBI,
1000))</f>
        <v>3000</v>
      </c>
      <c r="F48" s="99">
        <f>IF(F$2="N/A","N/A",CEILING(
Conf_VobOutTime_CBI
+Equ_PsdRelayEnergDelay
+Equ_PsdProcessDelay
+Equ_PsdClsRelayRlsDelay
+Conf_VibInTime_CBI,
1000))</f>
        <v>3000</v>
      </c>
      <c r="G48" s="99">
        <f>IF(G$2="N/A","N/A",CEILING(
Conf_VobOutTime_CBI
+Equ_PsdRelayEnergDelay
+Equ_PsdProcessDelay
+Equ_PsdClsRelayRlsDelay
+Conf_VibInTime_CBI,
1000))</f>
        <v>3000</v>
      </c>
      <c r="H48" s="99" t="str">
        <f>IF(H$2="N/A","N/A",CEILING(
Conf_VobOutTime_CBI
+Equ_PsdRelayEnergDelay
+Equ_PsdProcessDelay
+Equ_PsdClsRelayRlsDelay
+Conf_VibInTime_CBI,
1000))</f>
        <v>N/A</v>
      </c>
      <c r="I48" s="99" t="str">
        <f>IF(I$2="N/A","N/A",CEILING(
Conf_VobOutTime_CBI
+Equ_PsdRelayEnergDelay
+Equ_PsdProcessDelay
+Equ_PsdClsRelayRlsDelay
+Conf_VibInTime_CBI,
1000))</f>
        <v>N/A</v>
      </c>
      <c r="J48" s="100"/>
    </row>
  </sheetData>
  <mergeCells count="5">
    <mergeCell ref="J1:J2"/>
    <mergeCell ref="A1:A2"/>
    <mergeCell ref="B1:B2"/>
    <mergeCell ref="C1:C2"/>
    <mergeCell ref="D1:D2"/>
  </mergeCells>
  <phoneticPr fontId="1" type="noConversion"/>
  <conditionalFormatting sqref="A1:D1 J1:XFD1 A2:XFD1048576">
    <cfRule type="cellIs" dxfId="22" priority="3" operator="equal">
      <formula>"N/A"</formula>
    </cfRule>
  </conditionalFormatting>
  <conditionalFormatting sqref="E1:I1">
    <cfRule type="cellIs" dxfId="21" priority="2" operator="equal">
      <formula>"N/A"</formula>
    </cfRule>
  </conditionalFormatting>
  <conditionalFormatting sqref="E1:I1">
    <cfRule type="cellIs" dxfId="20" priority="1" operator="equal">
      <formula>"NA"</formula>
    </cfRule>
  </conditionalFormatting>
  <pageMargins left="0.7" right="0.7" top="0.75" bottom="0.75" header="0.3" footer="0.3"/>
  <pageSetup paperSize="9" orientation="portrait" r:id="rId1"/>
  <ignoredErrors>
    <ignoredError sqref="E2:G2" unlockedFormula="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2D050"/>
  </sheetPr>
  <dimension ref="A1:AF5"/>
  <sheetViews>
    <sheetView zoomScale="85" zoomScaleNormal="85" workbookViewId="0">
      <pane xSplit="2" topLeftCell="C1" activePane="topRight" state="frozen"/>
      <selection pane="topRight" activeCell="A6" sqref="A6:XFD602"/>
    </sheetView>
  </sheetViews>
  <sheetFormatPr defaultColWidth="9" defaultRowHeight="13.8"/>
  <cols>
    <col min="1" max="1" width="7" style="43" bestFit="1" customWidth="1"/>
    <col min="2" max="2" width="13.6640625" style="43" bestFit="1" customWidth="1"/>
    <col min="3" max="3" width="8.77734375" style="43" customWidth="1"/>
    <col min="4" max="4" width="10.21875" style="43" bestFit="1" customWidth="1"/>
    <col min="5" max="5" width="12" style="43" bestFit="1" customWidth="1"/>
    <col min="6" max="6" width="11.77734375" style="43" bestFit="1" customWidth="1"/>
    <col min="7" max="7" width="8.21875" style="43" bestFit="1" customWidth="1"/>
    <col min="8" max="8" width="13.6640625" style="43" bestFit="1" customWidth="1"/>
    <col min="9" max="9" width="12.44140625" style="43" bestFit="1" customWidth="1"/>
    <col min="10" max="10" width="8.109375" style="43" bestFit="1" customWidth="1"/>
    <col min="11" max="11" width="11.44140625" style="43" bestFit="1" customWidth="1"/>
    <col min="12" max="12" width="10" style="43" customWidth="1"/>
    <col min="13" max="13" width="10.21875" style="43" bestFit="1" customWidth="1"/>
    <col min="14" max="15" width="10.21875" style="43" customWidth="1"/>
    <col min="16" max="16" width="8.77734375" style="43" bestFit="1" customWidth="1"/>
    <col min="17" max="17" width="8.77734375" style="43" customWidth="1"/>
    <col min="18" max="18" width="10.88671875" style="43" bestFit="1" customWidth="1"/>
    <col min="19" max="19" width="9.44140625" style="43" customWidth="1"/>
    <col min="20" max="20" width="9.88671875" style="43" bestFit="1" customWidth="1"/>
    <col min="21" max="21" width="9.88671875" style="43" customWidth="1"/>
    <col min="22" max="22" width="14.21875" style="48" customWidth="1"/>
    <col min="23" max="23" width="14" style="48" customWidth="1"/>
    <col min="24" max="24" width="15.33203125" style="49" bestFit="1" customWidth="1"/>
    <col min="25" max="25" width="13.109375" style="49" customWidth="1"/>
    <col min="26" max="26" width="16.109375" style="49" bestFit="1" customWidth="1"/>
    <col min="27" max="27" width="16.33203125" style="49" bestFit="1" customWidth="1"/>
    <col min="28" max="28" width="15.6640625" style="49" customWidth="1"/>
    <col min="29" max="29" width="18.44140625" style="48" bestFit="1" customWidth="1"/>
    <col min="30" max="30" width="17.77734375" style="48" bestFit="1" customWidth="1"/>
    <col min="31" max="31" width="17.33203125" style="48" bestFit="1" customWidth="1"/>
    <col min="32" max="32" width="13.6640625" style="48" bestFit="1" customWidth="1"/>
    <col min="33" max="16384" width="9" style="43"/>
  </cols>
  <sheetData>
    <row r="1" spans="1:32" ht="39.6">
      <c r="A1" s="21" t="s">
        <v>694</v>
      </c>
      <c r="B1" s="21" t="s">
        <v>703</v>
      </c>
      <c r="C1" s="21" t="s">
        <v>704</v>
      </c>
      <c r="D1" s="21" t="s">
        <v>705</v>
      </c>
      <c r="E1" s="21" t="s">
        <v>706</v>
      </c>
      <c r="F1" s="21" t="s">
        <v>707</v>
      </c>
      <c r="G1" s="21" t="s">
        <v>708</v>
      </c>
      <c r="H1" s="21" t="s">
        <v>709</v>
      </c>
      <c r="I1" s="21" t="s">
        <v>710</v>
      </c>
      <c r="J1" s="21" t="s">
        <v>711</v>
      </c>
      <c r="K1" s="21" t="s">
        <v>712</v>
      </c>
      <c r="L1" s="21" t="s">
        <v>713</v>
      </c>
      <c r="M1" s="21" t="s">
        <v>714</v>
      </c>
      <c r="N1" s="21" t="s">
        <v>715</v>
      </c>
      <c r="O1" s="21" t="s">
        <v>716</v>
      </c>
      <c r="P1" s="21" t="s">
        <v>717</v>
      </c>
      <c r="Q1" s="21" t="s">
        <v>718</v>
      </c>
      <c r="R1" s="21" t="s">
        <v>719</v>
      </c>
      <c r="S1" s="21" t="s">
        <v>720</v>
      </c>
      <c r="T1" s="21" t="s">
        <v>721</v>
      </c>
      <c r="U1" s="21" t="s">
        <v>722</v>
      </c>
      <c r="V1" s="21" t="s">
        <v>723</v>
      </c>
      <c r="W1" s="21" t="s">
        <v>724</v>
      </c>
      <c r="X1" s="21" t="s">
        <v>725</v>
      </c>
      <c r="Y1" s="21" t="s">
        <v>726</v>
      </c>
      <c r="Z1" s="21" t="s">
        <v>727</v>
      </c>
      <c r="AA1" s="21" t="s">
        <v>728</v>
      </c>
      <c r="AB1" s="21" t="s">
        <v>729</v>
      </c>
      <c r="AC1" s="21" t="s">
        <v>730</v>
      </c>
      <c r="AD1" s="21" t="s">
        <v>732</v>
      </c>
      <c r="AE1" s="21" t="s">
        <v>733</v>
      </c>
      <c r="AF1" s="21" t="s">
        <v>731</v>
      </c>
    </row>
    <row r="2" spans="1:32" ht="74.400000000000006">
      <c r="A2" s="21" t="s">
        <v>61</v>
      </c>
      <c r="B2" s="21" t="s">
        <v>62</v>
      </c>
      <c r="C2" s="21" t="s">
        <v>63</v>
      </c>
      <c r="D2" s="21" t="s">
        <v>64</v>
      </c>
      <c r="E2" s="21" t="s">
        <v>497</v>
      </c>
      <c r="F2" s="21" t="s">
        <v>496</v>
      </c>
      <c r="G2" s="21" t="s">
        <v>190</v>
      </c>
      <c r="H2" s="21" t="s">
        <v>498</v>
      </c>
      <c r="I2" s="21" t="s">
        <v>338</v>
      </c>
      <c r="J2" s="21" t="s">
        <v>123</v>
      </c>
      <c r="K2" s="12" t="s">
        <v>188</v>
      </c>
      <c r="L2" s="21" t="s">
        <v>237</v>
      </c>
      <c r="M2" s="21" t="s">
        <v>189</v>
      </c>
      <c r="N2" s="21" t="s">
        <v>241</v>
      </c>
      <c r="O2" s="21" t="s">
        <v>236</v>
      </c>
      <c r="P2" s="21" t="s">
        <v>65</v>
      </c>
      <c r="Q2" s="21" t="s">
        <v>238</v>
      </c>
      <c r="R2" s="21" t="s">
        <v>66</v>
      </c>
      <c r="S2" s="21" t="s">
        <v>235</v>
      </c>
      <c r="T2" s="21" t="s">
        <v>67</v>
      </c>
      <c r="U2" s="21" t="s">
        <v>148</v>
      </c>
      <c r="V2" s="21" t="s">
        <v>421</v>
      </c>
      <c r="W2" s="21" t="s">
        <v>693</v>
      </c>
      <c r="X2" s="21" t="s">
        <v>695</v>
      </c>
      <c r="Y2" s="21" t="s">
        <v>696</v>
      </c>
      <c r="Z2" s="21" t="s">
        <v>697</v>
      </c>
      <c r="AA2" s="21" t="s">
        <v>339</v>
      </c>
      <c r="AB2" s="21" t="s">
        <v>698</v>
      </c>
      <c r="AC2" s="21" t="s">
        <v>699</v>
      </c>
      <c r="AD2" s="21" t="s">
        <v>700</v>
      </c>
      <c r="AE2" s="21" t="s">
        <v>701</v>
      </c>
      <c r="AF2" s="21" t="s">
        <v>702</v>
      </c>
    </row>
    <row r="3" spans="1:32">
      <c r="A3" s="22" t="s">
        <v>462</v>
      </c>
      <c r="B3" s="22" t="s">
        <v>463</v>
      </c>
      <c r="C3" s="23" t="s">
        <v>464</v>
      </c>
      <c r="D3" s="23" t="s">
        <v>465</v>
      </c>
      <c r="E3" s="23" t="s">
        <v>466</v>
      </c>
      <c r="F3" s="23" t="s">
        <v>467</v>
      </c>
      <c r="G3" s="23" t="s">
        <v>467</v>
      </c>
      <c r="H3" s="23" t="s">
        <v>468</v>
      </c>
      <c r="I3" s="23" t="s">
        <v>485</v>
      </c>
      <c r="J3" s="23" t="s">
        <v>468</v>
      </c>
      <c r="K3" s="53" t="s">
        <v>418</v>
      </c>
      <c r="L3" s="24" t="s">
        <v>418</v>
      </c>
      <c r="M3" s="23" t="s">
        <v>418</v>
      </c>
      <c r="N3" s="23" t="s">
        <v>418</v>
      </c>
      <c r="O3" s="23" t="s">
        <v>491</v>
      </c>
      <c r="P3" s="25" t="s">
        <v>469</v>
      </c>
      <c r="Q3" s="25" t="s">
        <v>468</v>
      </c>
      <c r="R3" s="26" t="s">
        <v>466</v>
      </c>
      <c r="S3" s="23" t="s">
        <v>468</v>
      </c>
      <c r="T3" s="27" t="s">
        <v>470</v>
      </c>
      <c r="U3" s="27" t="s">
        <v>143</v>
      </c>
      <c r="V3" s="28">
        <f>IF($A3="N/A","N/A",MAX('编组1-系统进路表'!T2,'编组2-系统进路表'!T2,'编组3-系统进路表'!T2,'编组4-系统进路表'!T2,'编组5-系统进路表'!T2))</f>
        <v>498</v>
      </c>
      <c r="W3" s="28">
        <f>IF($A3="N/A","N/A",MAX('编组1-系统进路表'!U2,'编组2-系统进路表'!U2,'编组3-系统进路表'!U2,'编组4-系统进路表'!U2,'编组5-系统进路表'!U2))</f>
        <v>0</v>
      </c>
      <c r="X3" s="28">
        <f>IF($A3="N/A","N/A",MAX('编组1-系统进路表'!V2,'编组2-系统进路表'!V2,'编组3-系统进路表'!V2,'编组4-系统进路表'!V2,'编组5-系统进路表'!V2))</f>
        <v>180</v>
      </c>
      <c r="Y3" s="28">
        <f>IF($A3="N/A","N/A",MAX('编组1-系统进路表'!W2,'编组2-系统进路表'!W2,'编组3-系统进路表'!W2,'编组4-系统进路表'!W2,'编组5-系统进路表'!W2))</f>
        <v>0</v>
      </c>
      <c r="Z3" s="28">
        <f>IF($A3="N/A","N/A",MAX('编组1-系统进路表'!X2,'编组2-系统进路表'!X2,'编组3-系统进路表'!X2,'编组4-系统进路表'!X2,'编组5-系统进路表'!X2))</f>
        <v>180</v>
      </c>
      <c r="AA3" s="27"/>
      <c r="AB3" s="28">
        <f>IF($A3="N/A","N/A",MAX('编组1-系统进路表'!Y2,'编组2-系统进路表'!Y2,'编组3-系统进路表'!Y2,'编组4-系统进路表'!Y2,'编组5-系统进路表'!Y2))</f>
        <v>25</v>
      </c>
      <c r="AC3" s="28">
        <f>IF($A3="N/A","N/A",MAX('编组1-系统进路表'!Z2,'编组2-系统进路表'!Z2,'编组3-系统进路表'!Z2,'编组4-系统进路表'!Z2,'编组5-系统进路表'!Z2))</f>
        <v>40</v>
      </c>
      <c r="AD3" s="28">
        <f>IF($A3="N/A","N/A",MAX('编组1-系统进路表'!AA2,'编组2-系统进路表'!AA2,'编组3-系统进路表'!AA2,'编组4-系统进路表'!AA2,'编组5-系统进路表'!AA2))</f>
        <v>20</v>
      </c>
      <c r="AE3" s="28">
        <f>IF($A3="N/A","N/A",MAX('编组1-系统进路表'!AB2,'编组2-系统进路表'!AB2,'编组3-系统进路表'!AB2,'编组4-系统进路表'!AB2,'编组5-系统进路表'!AB2))</f>
        <v>60</v>
      </c>
      <c r="AF3" s="28">
        <f>IF($A3="N/A","N/A",MAX('编组1-系统进路表'!AC2,'编组2-系统进路表'!AC2,'编组3-系统进路表'!AC2,'编组4-系统进路表'!AC2,'编组5-系统进路表'!AC2))</f>
        <v>30</v>
      </c>
    </row>
    <row r="4" spans="1:32" s="44" customFormat="1" ht="13.2">
      <c r="A4" s="22" t="s">
        <v>462</v>
      </c>
      <c r="B4" s="22" t="s">
        <v>471</v>
      </c>
      <c r="C4" s="23" t="s">
        <v>465</v>
      </c>
      <c r="D4" s="23" t="s">
        <v>472</v>
      </c>
      <c r="E4" s="23" t="s">
        <v>473</v>
      </c>
      <c r="F4" s="23" t="s">
        <v>467</v>
      </c>
      <c r="G4" s="23" t="s">
        <v>467</v>
      </c>
      <c r="H4" s="23" t="s">
        <v>468</v>
      </c>
      <c r="I4" s="23" t="s">
        <v>486</v>
      </c>
      <c r="J4" s="23" t="s">
        <v>474</v>
      </c>
      <c r="K4" s="53" t="s">
        <v>212</v>
      </c>
      <c r="L4" s="24" t="s">
        <v>507</v>
      </c>
      <c r="M4" s="23" t="s">
        <v>508</v>
      </c>
      <c r="N4" s="23" t="s">
        <v>475</v>
      </c>
      <c r="O4" s="23" t="s">
        <v>263</v>
      </c>
      <c r="P4" s="25" t="s">
        <v>476</v>
      </c>
      <c r="Q4" s="25" t="s">
        <v>468</v>
      </c>
      <c r="R4" s="26" t="s">
        <v>477</v>
      </c>
      <c r="S4" s="23" t="s">
        <v>468</v>
      </c>
      <c r="T4" s="27" t="s">
        <v>478</v>
      </c>
      <c r="U4" s="27" t="s">
        <v>143</v>
      </c>
      <c r="V4" s="28">
        <f>IF($A4="N/A","N/A",MAX('编组1-系统进路表'!T3,'编组2-系统进路表'!T3,'编组3-系统进路表'!T3,'编组4-系统进路表'!T3,'编组5-系统进路表'!T3))</f>
        <v>770</v>
      </c>
      <c r="W4" s="28">
        <f>IF($A4="N/A","N/A",MAX('编组1-系统进路表'!U3,'编组2-系统进路表'!U3,'编组3-系统进路表'!U3,'编组4-系统进路表'!U3,'编组5-系统进路表'!U3))</f>
        <v>60</v>
      </c>
      <c r="X4" s="28">
        <f>IF($A4="N/A","N/A",MAX('编组1-系统进路表'!V3,'编组2-系统进路表'!V3,'编组3-系统进路表'!V3,'编组4-系统进路表'!V3,'编组5-系统进路表'!V3))</f>
        <v>100</v>
      </c>
      <c r="Y4" s="28">
        <f>IF($A4="N/A","N/A",MAX('编组1-系统进路表'!W3,'编组2-系统进路表'!W3,'编组3-系统进路表'!W3,'编组4-系统进路表'!W3,'编组5-系统进路表'!W3))</f>
        <v>10</v>
      </c>
      <c r="Z4" s="28">
        <f>IF($A4="N/A","N/A",MAX('编组1-系统进路表'!X3,'编组2-系统进路表'!X3,'编组3-系统进路表'!X3,'编组4-系统进路表'!X3,'编组5-系统进路表'!X3))</f>
        <v>50</v>
      </c>
      <c r="AA4" s="27"/>
      <c r="AB4" s="28">
        <f>IF($A4="N/A","N/A",MAX('编组1-系统进路表'!Y3,'编组2-系统进路表'!Y3,'编组3-系统进路表'!Y3,'编组4-系统进路表'!Y3,'编组5-系统进路表'!Y3))</f>
        <v>10</v>
      </c>
      <c r="AC4" s="28">
        <f>IF($A4="N/A","N/A",MAX('编组1-系统进路表'!Z3,'编组2-系统进路表'!Z3,'编组3-系统进路表'!Z3,'编组4-系统进路表'!Z3,'编组5-系统进路表'!Z3))</f>
        <v>20</v>
      </c>
      <c r="AD4" s="28">
        <f>IF($A4="N/A","N/A",MAX('编组1-系统进路表'!AA3,'编组2-系统进路表'!AA3,'编组3-系统进路表'!AA3,'编组4-系统进路表'!AA3,'编组5-系统进路表'!AA3))</f>
        <v>65</v>
      </c>
      <c r="AE4" s="28">
        <f>IF($A4="N/A","N/A",MAX('编组1-系统进路表'!AB3,'编组2-系统进路表'!AB3,'编组3-系统进路表'!AB3,'编组4-系统进路表'!AB3,'编组5-系统进路表'!AB3))</f>
        <v>160</v>
      </c>
      <c r="AF4" s="28">
        <f>IF($A4="N/A","N/A",MAX('编组1-系统进路表'!AC3,'编组2-系统进路表'!AC3,'编组3-系统进路表'!AC3,'编组4-系统进路表'!AC3,'编组5-系统进路表'!AC3))</f>
        <v>30</v>
      </c>
    </row>
    <row r="5" spans="1:32">
      <c r="A5" s="22" t="s">
        <v>462</v>
      </c>
      <c r="B5" s="22" t="s">
        <v>479</v>
      </c>
      <c r="C5" s="22" t="s">
        <v>480</v>
      </c>
      <c r="D5" s="22" t="s">
        <v>481</v>
      </c>
      <c r="E5" s="22" t="s">
        <v>482</v>
      </c>
      <c r="F5" s="22" t="s">
        <v>467</v>
      </c>
      <c r="G5" s="22" t="s">
        <v>467</v>
      </c>
      <c r="H5" s="22" t="s">
        <v>468</v>
      </c>
      <c r="I5" s="22" t="s">
        <v>487</v>
      </c>
      <c r="J5" s="22" t="s">
        <v>483</v>
      </c>
      <c r="K5" s="53" t="s">
        <v>212</v>
      </c>
      <c r="L5" s="22" t="s">
        <v>418</v>
      </c>
      <c r="M5" s="22" t="s">
        <v>418</v>
      </c>
      <c r="N5" s="22" t="s">
        <v>484</v>
      </c>
      <c r="O5" s="22" t="s">
        <v>263</v>
      </c>
      <c r="P5" s="22" t="s">
        <v>469</v>
      </c>
      <c r="Q5" s="22" t="s">
        <v>468</v>
      </c>
      <c r="R5" s="22" t="s">
        <v>466</v>
      </c>
      <c r="S5" s="22" t="s">
        <v>468</v>
      </c>
      <c r="T5" s="22" t="s">
        <v>418</v>
      </c>
      <c r="U5" s="22" t="s">
        <v>143</v>
      </c>
      <c r="V5" s="28">
        <f>IF($A5="N/A","N/A",MAX('编组1-系统进路表'!T4,'编组2-系统进路表'!T4,'编组3-系统进路表'!T4,'编组4-系统进路表'!T4,'编组5-系统进路表'!T4))</f>
        <v>698</v>
      </c>
      <c r="W5" s="28">
        <f>IF($A5="N/A","N/A",MAX('编组1-系统进路表'!U4,'编组2-系统进路表'!U4,'编组3-系统进路表'!U4,'编组4-系统进路表'!U4,'编组5-系统进路表'!U4))</f>
        <v>10</v>
      </c>
      <c r="X5" s="28">
        <f>IF($A5="N/A","N/A",MAX('编组1-系统进路表'!V4,'编组2-系统进路表'!V4,'编组3-系统进路表'!V4,'编组4-系统进路表'!V4,'编组5-系统进路表'!V4))</f>
        <v>50</v>
      </c>
      <c r="Y5" s="28">
        <f>IF($A5="N/A","N/A",MAX('编组1-系统进路表'!W4,'编组2-系统进路表'!W4,'编组3-系统进路表'!W4,'编组4-系统进路表'!W4,'编组5-系统进路表'!W4))</f>
        <v>10</v>
      </c>
      <c r="Z5" s="28">
        <f>IF($A5="N/A","N/A",MAX('编组1-系统进路表'!X4,'编组2-系统进路表'!X4,'编组3-系统进路表'!X4,'编组4-系统进路表'!X4,'编组5-系统进路表'!X4))</f>
        <v>50</v>
      </c>
      <c r="AA5" s="27"/>
      <c r="AB5" s="28">
        <f>IF($A5="N/A","N/A",MAX('编组1-系统进路表'!Y4,'编组2-系统进路表'!Y4,'编组3-系统进路表'!Y4,'编组4-系统进路表'!Y4,'编组5-系统进路表'!Y4))</f>
        <v>0</v>
      </c>
      <c r="AC5" s="28">
        <f>IF($A5="N/A","N/A",MAX('编组1-系统进路表'!Z4,'编组2-系统进路表'!Z4,'编组3-系统进路表'!Z4,'编组4-系统进路表'!Z4,'编组5-系统进路表'!Z4))</f>
        <v>0</v>
      </c>
      <c r="AD5" s="28">
        <f>IF($A5="N/A","N/A",MAX('编组1-系统进路表'!AA4,'编组2-系统进路表'!AA4,'编组3-系统进路表'!AA4,'编组4-系统进路表'!AA4,'编组5-系统进路表'!AA4))</f>
        <v>0</v>
      </c>
      <c r="AE5" s="28">
        <f>IF($A5="N/A","N/A",MAX('编组1-系统进路表'!AB4,'编组2-系统进路表'!AB4,'编组3-系统进路表'!AB4,'编组4-系统进路表'!AB4,'编组5-系统进路表'!AB4))</f>
        <v>0</v>
      </c>
      <c r="AF5" s="28">
        <f>IF($A5="N/A","N/A",MAX('编组1-系统进路表'!AC4,'编组2-系统进路表'!AC4,'编组3-系统进路表'!AC4,'编组4-系统进路表'!AC4,'编组5-系统进路表'!AC4))</f>
        <v>30</v>
      </c>
    </row>
  </sheetData>
  <protectedRanges>
    <protectedRange sqref="A3:U5" name="区域3"/>
    <protectedRange sqref="AA3:AA5" name="区域2"/>
  </protectedRanges>
  <phoneticPr fontId="9" type="noConversion"/>
  <conditionalFormatting sqref="V3:Z5 AB3:AF5">
    <cfRule type="cellIs" dxfId="19" priority="1" operator="equal">
      <formula>"N/A"</formula>
    </cfRule>
  </conditionalFormatting>
  <dataValidations disablePrompts="1" count="2">
    <dataValidation type="list" allowBlank="1" showInputMessage="1" showErrorMessage="1" sqref="U3:U4">
      <formula1>"TRUE,FALSE"</formula1>
    </dataValidation>
    <dataValidation type="list" allowBlank="1" showInputMessage="1" showErrorMessage="1" sqref="K3:K5">
      <formula1>"Type_Beacon,Type_Loop,N/A"</formula1>
    </dataValidation>
  </dataValidations>
  <pageMargins left="0.7" right="0.7" top="0.75" bottom="0.75" header="0.3" footer="0.3"/>
  <pageSetup paperSize="9" orientation="portrait" r:id="rId1"/>
  <ignoredErrors>
    <ignoredError sqref="A2:D2 AA3 J2 P2 T2:U2 R2"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181</vt:i4>
      </vt:variant>
    </vt:vector>
  </HeadingPairs>
  <TitlesOfParts>
    <vt:vector size="199" baseType="lpstr">
      <vt:lpstr>封面</vt:lpstr>
      <vt:lpstr>模板版本修订记录</vt:lpstr>
      <vt:lpstr>说明页</vt:lpstr>
      <vt:lpstr>输入-车辆参数</vt:lpstr>
      <vt:lpstr>输入-设备参数</vt:lpstr>
      <vt:lpstr>输入-线路参数</vt:lpstr>
      <vt:lpstr>输入-系统基本参数</vt:lpstr>
      <vt:lpstr>输出-系统通用参数</vt:lpstr>
      <vt:lpstr>输出-系统进路参数</vt:lpstr>
      <vt:lpstr>输出-屏蔽门开门码</vt:lpstr>
      <vt:lpstr>附表-信号机</vt:lpstr>
      <vt:lpstr>附表-坡度</vt:lpstr>
      <vt:lpstr>附表-断链</vt:lpstr>
      <vt:lpstr>编组1-系统进路表</vt:lpstr>
      <vt:lpstr>编组2-系统进路表</vt:lpstr>
      <vt:lpstr>编组3-系统进路表</vt:lpstr>
      <vt:lpstr>编组4-系统进路表</vt:lpstr>
      <vt:lpstr>编组5-系统进路表</vt:lpstr>
      <vt:lpstr>_28</vt:lpstr>
      <vt:lpstr>AA</vt:lpstr>
      <vt:lpstr>CFG_D_MAX_JUMP_DEPOT</vt:lpstr>
      <vt:lpstr>CFG_D_MAX_REV_DIST</vt:lpstr>
      <vt:lpstr>CFG_D_MAX_ROLL_AWAY</vt:lpstr>
      <vt:lpstr>CFG_D_ROLL_AWAY_DETECT</vt:lpstr>
      <vt:lpstr>CFG_D_RS_BUFFER</vt:lpstr>
      <vt:lpstr>CFG_D_SAFETY_MARGIN</vt:lpstr>
      <vt:lpstr>CFG_ERR_MAX_LOC</vt:lpstr>
      <vt:lpstr>CFG_L_MAX_DIST_IN_2_WDCBCN</vt:lpstr>
      <vt:lpstr>CFG_L_MAX_MAL_ON_OVERLAP</vt:lpstr>
      <vt:lpstr>CFG_L_MIN_DIST_IN_2_WDCBCN</vt:lpstr>
      <vt:lpstr>CFG_L_MIN_MAL_ON_OVERLAP</vt:lpstr>
      <vt:lpstr>CFG_L_RS_HEAD_FILTER</vt:lpstr>
      <vt:lpstr>CFG_L_RS_REAR_FILTER</vt:lpstr>
      <vt:lpstr>CFG_T_ATS_ALIVE_TO_CC</vt:lpstr>
      <vt:lpstr>CFG_T_ATS_ALIVE_TO_ZC</vt:lpstr>
      <vt:lpstr>CFG_T_BERTHSEC_OVERLAP_RELEASE_1</vt:lpstr>
      <vt:lpstr>CFG_T_BERTHSEC_OVERLAP_RELEASE_2</vt:lpstr>
      <vt:lpstr>CFG_T_BERTHSEC_OVERLAP_RELEASE_3</vt:lpstr>
      <vt:lpstr>CFG_T_BERTHSEC_OVERLAP_RELEASE_4</vt:lpstr>
      <vt:lpstr>CFG_T_BERTHSEC_OVERLAP_RELEASE_5</vt:lpstr>
      <vt:lpstr>CFG_T_CBI_ALIVE_TO_ATS</vt:lpstr>
      <vt:lpstr>CFG_T_CBI_ALIVE_TO_CBI</vt:lpstr>
      <vt:lpstr>CFG_T_CBI_ALIVE_TO_CC</vt:lpstr>
      <vt:lpstr>CFG_T_CBI_ALIVE_TO_ZC</vt:lpstr>
      <vt:lpstr>CFG_T_CC_ALIVE_TO_ATS</vt:lpstr>
      <vt:lpstr>CFG_T_CC_ALIVE_TO_CBI</vt:lpstr>
      <vt:lpstr>CFG_T_CC_ALIVE_TO_ZC</vt:lpstr>
      <vt:lpstr>CFG_T_EB_OUT</vt:lpstr>
      <vt:lpstr>CFG_T_EB_SETUP</vt:lpstr>
      <vt:lpstr>CFG_T_LCROUTE_RELEASE_DMC_1</vt:lpstr>
      <vt:lpstr>CFG_T_LCROUTE_RELEASE_DMC_2</vt:lpstr>
      <vt:lpstr>CFG_T_LCROUTE_RELEASE_DMC_3</vt:lpstr>
      <vt:lpstr>CFG_T_LCROUTE_RELEASE_DMC_4</vt:lpstr>
      <vt:lpstr>CFG_T_LCROUTE_RELEASE_DMC_5</vt:lpstr>
      <vt:lpstr>CFG_T_LCROUTE_RELEASE_IMC_1</vt:lpstr>
      <vt:lpstr>CFG_T_LCROUTE_RELEASE_IMC_2</vt:lpstr>
      <vt:lpstr>CFG_T_LCROUTE_RELEASE_IMC_3</vt:lpstr>
      <vt:lpstr>CFG_T_LCROUTE_RELEASE_IMC_4</vt:lpstr>
      <vt:lpstr>CFG_T_LCROUTE_RELEASE_IMC_5</vt:lpstr>
      <vt:lpstr>CFG_T_MAX_BCN_DELAY</vt:lpstr>
      <vt:lpstr>CFG_T_OPG_OPG_VERIFY</vt:lpstr>
      <vt:lpstr>CFG_T_OVERLAP_VALID_BERTH_1</vt:lpstr>
      <vt:lpstr>CFG_T_OVERLAP_VALID_BERTH_2</vt:lpstr>
      <vt:lpstr>CFG_T_OVERLAP_VALID_BERTH_3</vt:lpstr>
      <vt:lpstr>CFG_T_OVERLAP_VALID_BERTH_4</vt:lpstr>
      <vt:lpstr>CFG_T_OVERLAP_VALID_BERTH_5</vt:lpstr>
      <vt:lpstr>CFG_T_OVERLAP_VALID_ROUTE_1</vt:lpstr>
      <vt:lpstr>CFG_T_OVERLAP_VALID_ROUTE_2</vt:lpstr>
      <vt:lpstr>CFG_T_OVERLAP_VALID_ROUTE_3</vt:lpstr>
      <vt:lpstr>CFG_T_OVERLAP_VALID_ROUTE_4</vt:lpstr>
      <vt:lpstr>CFG_T_OVERLAP_VALID_ROUTE_5</vt:lpstr>
      <vt:lpstr>CFG_T_OVERLAP_ZC_TIMEOUT</vt:lpstr>
      <vt:lpstr>CFG_T_PASS_SIGNAL</vt:lpstr>
      <vt:lpstr>CFG_T_PSD_STATUS_CONFIRM</vt:lpstr>
      <vt:lpstr>CFG_T_ROUTE_OVERLAP_RELEASE_1</vt:lpstr>
      <vt:lpstr>CFG_T_ROUTE_OVERLAP_RELEASE_2</vt:lpstr>
      <vt:lpstr>CFG_T_ROUTE_OVERLAP_RELEASE_3</vt:lpstr>
      <vt:lpstr>CFG_T_ROUTE_OVERLAP_RELEASE_4</vt:lpstr>
      <vt:lpstr>CFG_T_ROUTE_OVERLAP_RELEASE_5</vt:lpstr>
      <vt:lpstr>CFG_T_ROUTE_VALID_DMC_1</vt:lpstr>
      <vt:lpstr>CFG_T_ROUTE_VALID_DMC_2</vt:lpstr>
      <vt:lpstr>CFG_T_ROUTE_VALID_DMC_3</vt:lpstr>
      <vt:lpstr>CFG_T_ROUTE_VALID_DMC_4</vt:lpstr>
      <vt:lpstr>CFG_T_ROUTE_VALID_DMC_5</vt:lpstr>
      <vt:lpstr>CFG_T_ROUTE_VALID_IMC_1</vt:lpstr>
      <vt:lpstr>CFG_T_ROUTE_VALID_IMC_2</vt:lpstr>
      <vt:lpstr>CFG_T_ROUTE_VALID_IMC_3</vt:lpstr>
      <vt:lpstr>CFG_T_ROUTE_VALID_IMC_4</vt:lpstr>
      <vt:lpstr>CFG_T_ROUTE_VALID_IMC_5</vt:lpstr>
      <vt:lpstr>CFG_T_YDROUTE_RELEASE_1</vt:lpstr>
      <vt:lpstr>CFG_T_YDROUTE_RELEASE_2</vt:lpstr>
      <vt:lpstr>CFG_T_YDROUTE_RELEASE_3</vt:lpstr>
      <vt:lpstr>CFG_T_YDROUTE_RELEASE_4</vt:lpstr>
      <vt:lpstr>CFG_T_YDROUTE_RELEASE_5</vt:lpstr>
      <vt:lpstr>CFG_T_ZC_ALIVE_TO_ATS</vt:lpstr>
      <vt:lpstr>CFG_T_ZC_ALIVE_TO_CBI</vt:lpstr>
      <vt:lpstr>CFG_T_ZC_ALIVE_TO_CC</vt:lpstr>
      <vt:lpstr>CFG_T_ZC_ALIVE_TO_ZC</vt:lpstr>
      <vt:lpstr>CFG_V_ATPOPEN_SPD</vt:lpstr>
      <vt:lpstr>CFG_V_MAX_JUMP_DEPOT</vt:lpstr>
      <vt:lpstr>Conf_BiccCycle</vt:lpstr>
      <vt:lpstr>Conf_BilockCycle</vt:lpstr>
      <vt:lpstr>Conf_BiviewCycle</vt:lpstr>
      <vt:lpstr>Conf_BizcCycle</vt:lpstr>
      <vt:lpstr>Conf_BtmSendDelay</vt:lpstr>
      <vt:lpstr>Conf_Cbi2AtsCycle</vt:lpstr>
      <vt:lpstr>Conf_Cbi2CbiCycle</vt:lpstr>
      <vt:lpstr>Conf_Cbi2CcCycle</vt:lpstr>
      <vt:lpstr>Conf_Cbi2ZcCycle</vt:lpstr>
      <vt:lpstr>Conf_Cc2AtsCycle</vt:lpstr>
      <vt:lpstr>Conf_Cc2CbiCycle</vt:lpstr>
      <vt:lpstr>Conf_Cc2ZcCycle</vt:lpstr>
      <vt:lpstr>Conf_ComInTime_CBI</vt:lpstr>
      <vt:lpstr>Conf_ComInTime_CC</vt:lpstr>
      <vt:lpstr>Conf_ComInTime_ZC</vt:lpstr>
      <vt:lpstr>Conf_ComOutTime_CBI</vt:lpstr>
      <vt:lpstr>Conf_ComOutTime_CC</vt:lpstr>
      <vt:lpstr>Conf_ComOutTime_ZC</vt:lpstr>
      <vt:lpstr>Conf_DcsDelay</vt:lpstr>
      <vt:lpstr>Conf_LocDiff</vt:lpstr>
      <vt:lpstr>Conf_MaxSlideBackDist</vt:lpstr>
      <vt:lpstr>Conf_NetworkMargin</vt:lpstr>
      <vt:lpstr>Conf_PPUProcTime</vt:lpstr>
      <vt:lpstr>Conf_ReleaseSpd</vt:lpstr>
      <vt:lpstr>Conf_SafeMarginDist</vt:lpstr>
      <vt:lpstr>Conf_VibInTime_CBI</vt:lpstr>
      <vt:lpstr>Conf_VibInTime_CC</vt:lpstr>
      <vt:lpstr>Conf_VobOutTime_CBI</vt:lpstr>
      <vt:lpstr>Conf_VobOutTime_CC</vt:lpstr>
      <vt:lpstr>Conf_Zc2AtsCycle</vt:lpstr>
      <vt:lpstr>Conf_Zc2CbiCycle</vt:lpstr>
      <vt:lpstr>Conf_Zc2CcCycle</vt:lpstr>
      <vt:lpstr>Conf_Zc2ZcCycle</vt:lpstr>
      <vt:lpstr>Equ_AxleClearDelay</vt:lpstr>
      <vt:lpstr>Equ_AxleOccupyDelay</vt:lpstr>
      <vt:lpstr>Equ_BeaconReadDiff</vt:lpstr>
      <vt:lpstr>Equ_BeaconWriteDelay</vt:lpstr>
      <vt:lpstr>Equ_CollisionSpd</vt:lpstr>
      <vt:lpstr>Equ_CyclePulseCount</vt:lpstr>
      <vt:lpstr>Equ_LoopComDelay</vt:lpstr>
      <vt:lpstr>Equ_PsdClsRelayRlsDelay</vt:lpstr>
      <vt:lpstr>Equ_PsdProcessDelay</vt:lpstr>
      <vt:lpstr>Equ_PsdRelayEnergDelay</vt:lpstr>
      <vt:lpstr>Equ_PsdWidth</vt:lpstr>
      <vt:lpstr>Equ_RadarCycle</vt:lpstr>
      <vt:lpstr>Equ_RadarPulseDist</vt:lpstr>
      <vt:lpstr>Equ_RadarSpdDiff</vt:lpstr>
      <vt:lpstr>Equ_RadarTrigSpd</vt:lpstr>
      <vt:lpstr>Proj_BeaconFixDiff</vt:lpstr>
      <vt:lpstr>Proj_Cbi2CcDelay</vt:lpstr>
      <vt:lpstr>Proj_Cbi2ZcDelay</vt:lpstr>
      <vt:lpstr>Proj_Cc2CbiDelay</vt:lpstr>
      <vt:lpstr>Proj_Cc2ZcDelay</vt:lpstr>
      <vt:lpstr>Proj_EumMaxSpd</vt:lpstr>
      <vt:lpstr>Proj_HandOverCBIDelay</vt:lpstr>
      <vt:lpstr>Proj_HandOverZCDelay</vt:lpstr>
      <vt:lpstr>Proj_IAtpCommMode</vt:lpstr>
      <vt:lpstr>Proj_LineSpdLimit</vt:lpstr>
      <vt:lpstr>Proj_MaxDistBcn2SpJump</vt:lpstr>
      <vt:lpstr>Proj_MaxDistBcn2SpOpen</vt:lpstr>
      <vt:lpstr>Proj_MaxLineGrad</vt:lpstr>
      <vt:lpstr>Proj_MaxPlatGrad</vt:lpstr>
      <vt:lpstr>Proj_MaxRollBackDist</vt:lpstr>
      <vt:lpstr>Proj_MinDriverSpd</vt:lpstr>
      <vt:lpstr>Proj_MinHook2Roller</vt:lpstr>
      <vt:lpstr>Proj_MinSp2EndJumpDist</vt:lpstr>
      <vt:lpstr>Proj_MinSp2EndOpenDist</vt:lpstr>
      <vt:lpstr>Proj_MinSp2HookOpenDist</vt:lpstr>
      <vt:lpstr>Proj_MinSp2SigJumpDist</vt:lpstr>
      <vt:lpstr>Proj_MinVehicleLength</vt:lpstr>
      <vt:lpstr>Proj_PlatSpdLimit</vt:lpstr>
      <vt:lpstr>Proj_ReverseTractCmd</vt:lpstr>
      <vt:lpstr>Proj_RmMaxBackwSpd</vt:lpstr>
      <vt:lpstr>Proj_RmMaxForwSpd</vt:lpstr>
      <vt:lpstr>Proj_Sig2AxleDist</vt:lpstr>
      <vt:lpstr>Proj_Sp2AxleDist</vt:lpstr>
      <vt:lpstr>Proj_Zc2CbiDelay</vt:lpstr>
      <vt:lpstr>Proj_Zc2CcDelay</vt:lpstr>
      <vt:lpstr>Veb_MaxDec</vt:lpstr>
      <vt:lpstr>Veh_CollisionSpd</vt:lpstr>
      <vt:lpstr>Veh_ConstructSpeed</vt:lpstr>
      <vt:lpstr>Veh_DoorWidth</vt:lpstr>
      <vt:lpstr>Veh_EbCoastTime</vt:lpstr>
      <vt:lpstr>Veh_EbTracCutDelay</vt:lpstr>
      <vt:lpstr>Veh_FsbCoastTime</vt:lpstr>
      <vt:lpstr>Veh_Fsbr</vt:lpstr>
      <vt:lpstr>Veh_FsbSetDelay</vt:lpstr>
      <vt:lpstr>Veh_FsbTracCutDelay</vt:lpstr>
      <vt:lpstr>Veh_Gebr</vt:lpstr>
      <vt:lpstr>Veh_GebSetDelay</vt:lpstr>
      <vt:lpstr>Veh_Hook2Ante</vt:lpstr>
      <vt:lpstr>Veh_Hook2Roller</vt:lpstr>
      <vt:lpstr>Veh_Length</vt:lpstr>
      <vt:lpstr>Veh_Marshal</vt:lpstr>
      <vt:lpstr>Veh_MaxAcc</vt:lpstr>
      <vt:lpstr>Veh_MaxWheelDiameter</vt:lpstr>
      <vt:lpstr>Veh_MinWheelDiameter</vt:lpstr>
      <vt:lpstr>Veh_NormDec</vt:lpstr>
      <vt:lpstr>Veh_WheelSurfaceErr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刘毅</dc:creator>
  <dc:description>pw:westlife</dc:description>
  <cp:lastModifiedBy>hushunding</cp:lastModifiedBy>
  <cp:lastPrinted>2015-12-17T02:08:46Z</cp:lastPrinted>
  <dcterms:created xsi:type="dcterms:W3CDTF">2015-09-23T03:47:40Z</dcterms:created>
  <dcterms:modified xsi:type="dcterms:W3CDTF">2018-10-23T14:15:35Z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be536f8b-a722-4bb1-aee2-acde93e0f939</vt:lpwstr>
  </property>
</Properties>
</file>